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DJqOqOj5Pin6nCFAhnwQHedaMSr56hO5KRCBUbdMQGeuDqZc5SZ4zodKmrHPR5+8OKAoK5H5y6nN2ACOSR7INQ==" workbookSaltValue="gJMg/ayOb3Gisudr9s5fQA=="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E16" i="13" s="1"/>
  <c r="BA16" i="13"/>
  <c r="BB15" i="13"/>
  <c r="BA15" i="13"/>
  <c r="AZ16" i="13"/>
  <c r="AZ15" i="13"/>
  <c r="AY16" i="13"/>
  <c r="BG16" i="13" s="1"/>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3" i="17" s="1"/>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O19" i="8" s="1"/>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E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AR13" i="21"/>
  <c r="R13" i="12"/>
  <c r="BF17" i="8"/>
  <c r="ER19" i="8"/>
  <c r="AE13" i="21"/>
  <c r="EL19" i="8"/>
  <c r="EQ19" i="8"/>
  <c r="EN19" i="8"/>
  <c r="E15" i="3"/>
  <c r="BA13" i="16"/>
  <c r="F16" i="10"/>
  <c r="E10" i="6"/>
  <c r="ES19" i="8"/>
  <c r="W19" i="8"/>
  <c r="R19" i="8"/>
  <c r="EP19" i="8"/>
  <c r="EP19" i="19"/>
  <c r="S13" i="16"/>
  <c r="P13" i="16"/>
  <c r="W13" i="20"/>
  <c r="M18" i="2"/>
  <c r="AO12" i="11"/>
  <c r="T13" i="16"/>
  <c r="BD9" i="8"/>
  <c r="AP13" i="16"/>
  <c r="T18" i="17"/>
  <c r="BF15" i="13"/>
  <c r="BF16" i="13"/>
  <c r="AK20" i="20"/>
  <c r="T20" i="20"/>
  <c r="O16" i="11"/>
  <c r="Z20" i="20"/>
  <c r="H20" i="20"/>
  <c r="G18" i="14"/>
  <c r="E17" i="3" l="1"/>
  <c r="E18" i="12"/>
  <c r="AL19" i="8"/>
  <c r="AV18" i="21"/>
  <c r="BM18" i="16"/>
  <c r="G18" i="12"/>
  <c r="L19" i="8"/>
  <c r="BG15" i="8"/>
  <c r="AJ19" i="8"/>
  <c r="AG19" i="8"/>
  <c r="F13" i="7"/>
  <c r="I19" i="8"/>
  <c r="H13" i="12"/>
  <c r="B12" i="6"/>
  <c r="X12" i="21"/>
  <c r="BJ11" i="11"/>
  <c r="AZ11" i="11"/>
  <c r="L10" i="2"/>
  <c r="BH9" i="16"/>
  <c r="BH15" i="16"/>
  <c r="BF10" i="11"/>
  <c r="BK15" i="11"/>
  <c r="Q10" i="21"/>
  <c r="BI17" i="11"/>
  <c r="BM15" i="11"/>
  <c r="BW9" i="20"/>
  <c r="BV15" i="16"/>
  <c r="BU17" i="17"/>
  <c r="S11" i="14"/>
  <c r="V11" i="14" s="1"/>
  <c r="X17" i="17"/>
  <c r="P15" i="17"/>
  <c r="BL15" i="11"/>
  <c r="BH10" i="16"/>
  <c r="BM17" i="11"/>
  <c r="S17" i="17"/>
  <c r="BH12" i="16"/>
  <c r="X15" i="16"/>
  <c r="X18" i="16" s="1"/>
  <c r="BJ17" i="11"/>
  <c r="BL17" i="11"/>
  <c r="AZ17" i="11"/>
  <c r="BL11" i="11"/>
  <c r="T15" i="16"/>
  <c r="BV16" i="16"/>
  <c r="BU9" i="17"/>
  <c r="BV9" i="16"/>
  <c r="AZ16" i="11"/>
  <c r="S15" i="16"/>
  <c r="BF12" i="11"/>
  <c r="BL10" i="11"/>
  <c r="Q15" i="17"/>
  <c r="BF15" i="11"/>
  <c r="BM9" i="11"/>
  <c r="BK10" i="11"/>
  <c r="S15" i="17"/>
  <c r="V10" i="16"/>
  <c r="AY13" i="8"/>
  <c r="BD12" i="8"/>
  <c r="BE12" i="8"/>
  <c r="L11" i="14"/>
  <c r="F11" i="11"/>
  <c r="AQ11" i="11" s="1"/>
  <c r="BE12" i="21"/>
  <c r="BE15" i="13"/>
  <c r="U9" i="17"/>
  <c r="U19" i="17" s="1"/>
  <c r="L12" i="2"/>
  <c r="BL16" i="11"/>
  <c r="BJ16" i="11"/>
  <c r="AQ12" i="21"/>
  <c r="BH16" i="11"/>
  <c r="T11" i="11"/>
  <c r="BG16" i="11"/>
  <c r="BH11" i="11"/>
  <c r="BK16" i="11"/>
  <c r="BJ10" i="11"/>
  <c r="AQ10" i="21"/>
  <c r="BI9" i="11"/>
  <c r="BH10" i="11"/>
  <c r="Q17" i="17"/>
  <c r="BG12" i="11"/>
  <c r="T16" i="11"/>
  <c r="T15" i="11"/>
  <c r="AZ12" i="11"/>
  <c r="BU16" i="17"/>
  <c r="BV10" i="16"/>
  <c r="BW15" i="20"/>
  <c r="BW16" i="20"/>
  <c r="BW17" i="20"/>
  <c r="BU15" i="17"/>
  <c r="T17" i="16"/>
  <c r="BH17" i="11"/>
  <c r="BG9" i="11"/>
  <c r="R10" i="21"/>
  <c r="R13" i="21" s="1"/>
  <c r="V9" i="11"/>
  <c r="BI10" i="11"/>
  <c r="X9" i="17"/>
  <c r="X11" i="17"/>
  <c r="BK9" i="11"/>
  <c r="BK12" i="11"/>
  <c r="Q17" i="20"/>
  <c r="Q18" i="20" s="1"/>
  <c r="BH15" i="11"/>
  <c r="V15" i="11"/>
  <c r="AP16" i="20"/>
  <c r="AA16" i="16"/>
  <c r="BU12" i="17"/>
  <c r="V12" i="16"/>
  <c r="BW10" i="20"/>
  <c r="U10" i="17"/>
  <c r="BW11" i="20"/>
  <c r="BV11" i="16"/>
  <c r="BW12" i="20"/>
  <c r="BV12" i="16"/>
  <c r="BU10" i="17"/>
  <c r="BV17" i="16"/>
  <c r="BU11" i="17"/>
  <c r="AZ15" i="11"/>
  <c r="AZ18" i="11" s="1"/>
  <c r="AP17" i="20"/>
  <c r="AZ9" i="11"/>
  <c r="AZ19" i="11" s="1"/>
  <c r="BK17" i="11"/>
  <c r="R17" i="20"/>
  <c r="R18" i="20" s="1"/>
  <c r="BG15" i="11"/>
  <c r="AP15" i="20"/>
  <c r="BJ12" i="11"/>
  <c r="BJ15" i="11"/>
  <c r="BI15" i="11"/>
  <c r="BH9" i="11"/>
  <c r="BM12" i="11"/>
  <c r="AP10" i="21"/>
  <c r="V11" i="11"/>
  <c r="BK11" i="11"/>
  <c r="V17" i="16"/>
  <c r="X13" i="20"/>
  <c r="V12" i="21"/>
  <c r="BL12" i="11"/>
  <c r="S17" i="16"/>
  <c r="S18" i="16" s="1"/>
  <c r="BF16" i="11"/>
  <c r="BF17" i="11"/>
  <c r="P17" i="17"/>
  <c r="BM16" i="11"/>
  <c r="BG10" i="11"/>
  <c r="BH17" i="16"/>
  <c r="BL9" i="11"/>
  <c r="BH11" i="16"/>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AI19" i="8"/>
  <c r="D11" i="12"/>
  <c r="AL12" i="11"/>
  <c r="B17" i="6"/>
  <c r="H15" i="2"/>
  <c r="AN17" i="11"/>
  <c r="AN15" i="11"/>
  <c r="BE13" i="21"/>
  <c r="BE19" i="21" s="1"/>
  <c r="BD18" i="19"/>
  <c r="CN19" i="19"/>
  <c r="BD12" i="13"/>
  <c r="AC19" i="13"/>
  <c r="AA19" i="13"/>
  <c r="W19" i="13"/>
  <c r="BE17" i="13"/>
  <c r="BG10" i="13"/>
  <c r="E12" i="6"/>
  <c r="AV18" i="17"/>
  <c r="BE11" i="8"/>
  <c r="BG12" i="8"/>
  <c r="K12" i="7" s="1"/>
  <c r="BE15" i="8"/>
  <c r="I15" i="7" s="1"/>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F12" i="21"/>
  <c r="AO13" i="21"/>
  <c r="N13" i="2"/>
  <c r="C10" i="14"/>
  <c r="K10" i="14" s="1"/>
  <c r="F9" i="12"/>
  <c r="G9" i="12"/>
  <c r="E9" i="12"/>
  <c r="BJ18" i="11"/>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L15" i="14"/>
  <c r="C15" i="6"/>
  <c r="J15" i="2"/>
  <c r="AN11" i="11"/>
  <c r="AE19" i="21"/>
  <c r="G13" i="21"/>
  <c r="T13" i="20"/>
  <c r="U16" i="11"/>
  <c r="AX20" i="20"/>
  <c r="Y20" i="20"/>
  <c r="O10" i="11"/>
  <c r="AM20" i="20"/>
  <c r="Q20" i="20"/>
  <c r="AB20" i="20"/>
  <c r="AI20" i="20"/>
  <c r="AZ20" i="20"/>
  <c r="AV20" i="20"/>
  <c r="AU20" i="20"/>
  <c r="M20" i="20"/>
  <c r="AQ20" i="21"/>
  <c r="AP20" i="20"/>
  <c r="AH20" i="20"/>
  <c r="N20" i="20"/>
  <c r="AD20" i="20"/>
  <c r="AE20" i="20"/>
  <c r="AG20" i="20"/>
  <c r="AQ20" i="20"/>
  <c r="U10" i="11"/>
  <c r="O20" i="20"/>
  <c r="X20" i="20"/>
  <c r="AJ20" i="20"/>
  <c r="E20" i="20"/>
  <c r="AF20" i="20"/>
  <c r="W20" i="20"/>
  <c r="G13" i="14"/>
  <c r="F20" i="20"/>
  <c r="AA20" i="20"/>
  <c r="K20" i="20"/>
  <c r="L20" i="20"/>
  <c r="P20" i="20"/>
  <c r="J20" i="20"/>
  <c r="S20" i="20"/>
  <c r="U12" i="11"/>
  <c r="W20" i="21"/>
  <c r="I20" i="20"/>
  <c r="T20" i="21"/>
  <c r="AB21" i="21" l="1"/>
  <c r="BF18" i="13"/>
  <c r="R19" i="21"/>
  <c r="I15" i="12"/>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J11" i="7" s="1"/>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BP20" i="16"/>
  <c r="AX20" i="21"/>
  <c r="O17" i="11"/>
  <c r="AO20" i="20"/>
  <c r="H20" i="17"/>
  <c r="U17" i="11"/>
  <c r="AN20" i="20"/>
  <c r="AW20" i="11"/>
  <c r="AV20" i="2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R20" i="16"/>
  <c r="O12" i="11"/>
  <c r="AG20" i="21"/>
  <c r="BM19" i="11" l="1"/>
  <c r="G19" i="3"/>
  <c r="F19" i="2"/>
  <c r="BG19" i="11"/>
  <c r="BV19" i="16"/>
  <c r="BV21" i="16"/>
  <c r="Q13" i="11"/>
  <c r="I19" i="3"/>
  <c r="BD19" i="8"/>
  <c r="AO21" i="11"/>
  <c r="BG19" i="8"/>
  <c r="H19" i="2"/>
  <c r="F21" i="11"/>
  <c r="S19" i="17" l="1"/>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U20" i="11"/>
  <c r="AT20" i="20"/>
  <c r="P20" i="17"/>
  <c r="AE20" i="21"/>
  <c r="AW20" i="16"/>
  <c r="AE20" i="16"/>
  <c r="Q20" i="21"/>
  <c r="BK20" i="16"/>
  <c r="W20" i="17"/>
  <c r="AL20" i="16"/>
  <c r="F20" i="21"/>
  <c r="Z20" i="11"/>
  <c r="J20" i="17"/>
  <c r="AB20" i="21"/>
  <c r="AR20" i="16"/>
  <c r="BD20" i="21"/>
  <c r="AA20" i="21"/>
  <c r="AS20" i="16"/>
  <c r="AE20" i="11"/>
  <c r="S20" i="16"/>
  <c r="AN20" i="17"/>
  <c r="V20" i="21"/>
  <c r="BC20" i="21"/>
  <c r="AZ20" i="11"/>
  <c r="AH20" i="17"/>
  <c r="M20" i="16"/>
  <c r="AF20" i="16"/>
  <c r="Y20" i="11"/>
  <c r="BD20" i="16"/>
  <c r="AV20" i="17"/>
  <c r="AH20" i="21"/>
  <c r="E20" i="16"/>
  <c r="AR20" i="11"/>
  <c r="BI20" i="16"/>
  <c r="G20" i="12"/>
  <c r="Z20" i="21"/>
  <c r="BQ20" i="16"/>
  <c r="AF20" i="21"/>
  <c r="AP20" i="17"/>
  <c r="AE20" i="17"/>
  <c r="BN20" i="16"/>
  <c r="J20" i="11"/>
  <c r="K20" i="16"/>
  <c r="AG20" i="16"/>
  <c r="N20" i="21"/>
  <c r="AU20" i="16"/>
  <c r="AA20" i="17"/>
  <c r="X20" i="21"/>
  <c r="H20" i="11"/>
  <c r="AJ20" i="16"/>
  <c r="AN20" i="16"/>
  <c r="R20" i="17"/>
  <c r="S20" i="17"/>
  <c r="AK20" i="21"/>
  <c r="T20" i="17"/>
  <c r="J20" i="16"/>
  <c r="AO20" i="16"/>
  <c r="AD20" i="16"/>
  <c r="Y20" i="16"/>
  <c r="J20" i="21"/>
  <c r="AC20" i="11"/>
  <c r="Q20" i="17"/>
  <c r="AS20" i="11"/>
  <c r="L20" i="21"/>
  <c r="V20" i="16"/>
  <c r="AS20" i="21"/>
  <c r="BH20" i="16"/>
  <c r="AW20" i="21"/>
  <c r="AO20" i="17"/>
  <c r="I20" i="12"/>
  <c r="W20" i="11"/>
  <c r="AO20" i="21"/>
  <c r="AI20" i="11"/>
  <c r="BL20" i="16" l="1"/>
  <c r="AQ20" i="17"/>
  <c r="AT20" i="21"/>
  <c r="AP20" i="11"/>
  <c r="T21" i="1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<sst xmlns="http://schemas.openxmlformats.org/spreadsheetml/2006/main" count="2094" uniqueCount="914">
  <si>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</si>
  <si>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</si>
  <si>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</si>
  <si>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</si>
  <si>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</si>
  <si>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</si>
  <si>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</si>
  <si>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</si>
  <si>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</si>
  <si>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</si>
  <si>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</si>
  <si>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</si>
  <si>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</si>
  <si>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</si>
  <si>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</si>
  <si>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</si>
  <si>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</si>
  <si>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</si>
  <si>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</si>
  <si>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</si>
  <si>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</si>
  <si>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</si>
  <si>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</si>
  <si>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</si>
  <si>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</si>
  <si>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</si>
  <si>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</si>
  <si>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</si>
  <si>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</si>
  <si>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</si>
  <si>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</si>
  <si>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</si>
  <si>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</si>
  <si>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</si>
  <si>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</si>
  <si>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</si>
  <si>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</si>
  <si>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</si>
  <si>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</si>
  <si>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</si>
  <si>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</si>
  <si>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</si>
  <si>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</si>
  <si>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</si>
  <si>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</si>
  <si>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</si>
  <si>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</si>
  <si>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</si>
  <si>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</si>
  <si>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</si>
  <si>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</si>
  <si>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</si>
  <si>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</si>
  <si>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</si>
  <si>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</si>
  <si>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</si>
  <si>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</si>
  <si>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</si>
  <si>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</si>
  <si>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</si>
  <si>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</si>
  <si>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</si>
  <si>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</si>
  <si>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</si>
  <si>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</si>
  <si>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</si>
  <si>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</si>
  <si>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</si>
  <si>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</si>
  <si>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</si>
  <si>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</si>
  <si>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</si>
  <si>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</si>
  <si>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</si>
  <si>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</si>
  <si>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</si>
  <si>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</si>
  <si>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</si>
  <si>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</si>
  <si>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</si>
  <si>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</si>
  <si>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</si>
  <si>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</si>
  <si>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</si>
  <si>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</si>
  <si>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</si>
  <si>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</si>
  <si>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</si>
  <si>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</si>
  <si>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</si>
  <si>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</si>
  <si>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</si>
  <si>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</si>
  <si>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</si>
  <si>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</si>
  <si>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</si>
  <si>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</si>
  <si>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</si>
  <si>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</si>
  <si>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</si>
  <si>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</si>
  <si>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</si>
  <si>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</si>
  <si>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</si>
  <si>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</si>
  <si>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</si>
  <si>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</si>
  <si>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</si>
  <si>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</si>
  <si>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</si>
  <si>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</si>
  <si>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</si>
  <si>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</si>
  <si>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</si>
  <si>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</si>
  <si>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</si>
  <si>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</si>
  <si>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</si>
  <si>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</si>
  <si>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</si>
  <si>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</si>
  <si>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</si>
  <si>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</si>
  <si>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</si>
  <si>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</si>
  <si>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</si>
  <si>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</si>
  <si>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</si>
  <si>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</si>
  <si>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</si>
  <si>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</si>
  <si>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</si>
  <si>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</si>
  <si>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</si>
  <si>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</si>
  <si>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</si>
  <si>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</si>
  <si>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</si>
  <si>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</si>
  <si>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</si>
  <si>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</si>
  <si>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</si>
  <si>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</si>
  <si>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</si>
  <si>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</si>
  <si>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</si>
  <si>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</si>
  <si>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</si>
  <si>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</si>
  <si>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</si>
  <si>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</si>
  <si>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</si>
  <si>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</si>
  <si>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</si>
  <si>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</si>
  <si>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</si>
  <si>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</si>
  <si>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</si>
  <si>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</si>
  <si>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</si>
  <si>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</si>
  <si>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</si>
  <si>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</si>
  <si>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</si>
  <si>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</si>
  <si>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</si>
  <si>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</si>
  <si>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</si>
  <si>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</si>
  <si>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</si>
  <si>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</si>
  <si>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</si>
  <si>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</si>
  <si>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</si>
  <si>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</si>
  <si>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</si>
  <si>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</si>
  <si>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</si>
  <si>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</si>
  <si>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</si>
  <si>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</si>
  <si>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</si>
  <si>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</si>
  <si>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</si>
  <si>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</si>
  <si>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</si>
  <si>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</si>
  <si>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</si>
  <si>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</si>
  <si>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</si>
  <si>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</si>
  <si>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</si>
  <si>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</si>
  <si>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</si>
  <si>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</si>
  <si>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</si>
  <si>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</si>
  <si>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</si>
  <si>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</si>
  <si>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</si>
  <si>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</si>
  <si>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</si>
  <si>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</si>
  <si>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</si>
  <si>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</si>
  <si>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</si>
  <si>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</si>
  <si>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</si>
  <si>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</si>
  <si>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</si>
  <si>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</si>
  <si>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</si>
  <si>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</si>
  <si>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</si>
  <si>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</si>
  <si>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</si>
  <si>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</si>
  <si>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</si>
  <si>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</si>
  <si>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</si>
  <si>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</si>
  <si>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</si>
  <si>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</si>
  <si>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</si>
  <si>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</si>
  <si>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</si>
  <si>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</si>
  <si>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</si>
  <si>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</si>
  <si>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</si>
  <si>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</si>
  <si>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</si>
  <si>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</si>
  <si>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</si>
  <si>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</si>
  <si>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</si>
  <si>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</si>
  <si>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</si>
  <si>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</si>
  <si>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</si>
  <si>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</si>
  <si>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</si>
  <si>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</si>
  <si>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</si>
  <si>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</si>
  <si>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</si>
  <si>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</si>
  <si>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</si>
  <si>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</si>
  <si>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</si>
  <si>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</si>
  <si>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</si>
  <si>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</si>
  <si>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</si>
  <si>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</si>
  <si>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</si>
  <si>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</si>
  <si>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</si>
  <si>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</si>
  <si>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</si>
  <si>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</si>
  <si>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</si>
  <si>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</si>
  <si>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</si>
  <si>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</si>
  <si>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</si>
  <si>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</si>
  <si>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</si>
  <si>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</si>
  <si>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</si>
  <si>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</si>
  <si>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</si>
  <si>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</si>
  <si>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</si>
  <si>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</si>
  <si>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</si>
  <si>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</si>
  <si>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</si>
  <si>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</si>
  <si>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</si>
  <si>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</si>
  <si>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</si>
  <si>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</si>
  <si>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</si>
  <si>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</si>
  <si>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</si>
  <si>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</si>
  <si>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</si>
  <si>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</si>
  <si>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</si>
  <si>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</si>
  <si>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</si>
  <si>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</si>
  <si>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</si>
  <si>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</si>
  <si>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</si>
  <si>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</si>
  <si>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</si>
  <si>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</si>
  <si>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</si>
  <si>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</si>
  <si>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</si>
  <si>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</si>
  <si>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</si>
  <si>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</si>
  <si>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</si>
  <si>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</si>
  <si>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</si>
  <si>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</si>
  <si>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</si>
  <si>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</si>
  <si>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</si>
  <si>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</si>
  <si>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</si>
  <si>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</si>
  <si>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</si>
  <si>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</si>
  <si>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</si>
  <si>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</si>
  <si>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</si>
  <si>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</si>
  <si>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</si>
  <si>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</si>
  <si>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</si>
  <si>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</si>
  <si>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</si>
  <si>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</si>
  <si>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</si>
  <si>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</si>
  <si>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</si>
  <si>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</si>
  <si>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</si>
  <si>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</si>
  <si>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</si>
  <si>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</si>
  <si>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</si>
  <si>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</si>
  <si>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</si>
  <si>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</si>
  <si>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</si>
  <si>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</si>
  <si>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</si>
  <si>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</si>
  <si>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</si>
  <si>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</si>
  <si>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</si>
  <si>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</si>
  <si>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</si>
  <si>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</si>
  <si>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</si>
  <si>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</si>
  <si>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</si>
  <si>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</si>
  <si>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</si>
  <si>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</si>
  <si>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</si>
  <si>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</si>
  <si>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</si>
  <si>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</si>
  <si>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</si>
  <si>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</si>
  <si>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</si>
  <si>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</si>
  <si>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</si>
  <si>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</si>
  <si>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</si>
  <si>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</si>
  <si>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</si>
  <si>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</si>
  <si>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</si>
  <si>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</si>
  <si>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</si>
  <si>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</si>
  <si>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</si>
  <si>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</si>
  <si>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</si>
  <si>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</si>
  <si>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</si>
  <si>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</si>
  <si>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</si>
  <si>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</si>
  <si>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</si>
  <si>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</si>
  <si>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</si>
  <si>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</si>
  <si>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</si>
  <si>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</si>
  <si>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</si>
  <si>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</si>
  <si>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</si>
  <si>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</si>
  <si>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</si>
  <si>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</si>
  <si>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</si>
  <si>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</si>
  <si>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</si>
  <si>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</si>
  <si>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</si>
  <si>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</si>
  <si>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</si>
  <si>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</si>
  <si>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</si>
  <si>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</si>
  <si>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</si>
  <si>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</si>
  <si>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</si>
  <si>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</si>
  <si>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</si>
  <si>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</si>
  <si>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</si>
  <si>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</si>
  <si>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</si>
  <si>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</si>
  <si>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</si>
  <si>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</si>
  <si>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</si>
  <si>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</si>
  <si>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</si>
  <si>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</si>
  <si>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</si>
  <si>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</si>
  <si>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</si>
  <si>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</si>
  <si>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</si>
  <si>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</si>
  <si>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</si>
  <si>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</si>
  <si>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</si>
  <si>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</si>
  <si>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</si>
  <si>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</si>
  <si>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</si>
  <si>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</si>
  <si>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</si>
  <si>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</si>
  <si>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</si>
  <si>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</si>
  <si>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</si>
  <si>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</si>
  <si>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</si>
  <si>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</si>
  <si>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</si>
  <si>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</si>
  <si>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</si>
  <si>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</si>
  <si>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</si>
  <si>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</si>
  <si>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</si>
  <si>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</si>
  <si>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</si>
  <si>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</si>
  <si>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</si>
  <si>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</si>
  <si>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</si>
  <si>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</si>
  <si>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</si>
  <si>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</si>
  <si>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</si>
  <si>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</si>
  <si>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</si>
  <si>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</si>
  <si>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</si>
  <si>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</si>
  <si>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</si>
  <si>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</si>
  <si>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</si>
  <si>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</si>
  <si>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</si>
  <si>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</si>
  <si>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</si>
  <si>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</si>
  <si>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</si>
  <si>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</si>
  <si>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</si>
  <si>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</si>
  <si>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</si>
  <si>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</si>
  <si>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</si>
  <si>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</si>
  <si>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</si>
  <si>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</si>
  <si>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</si>
  <si>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</si>
  <si>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</si>
  <si>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</si>
  <si>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</si>
  <si>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</si>
  <si>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</si>
  <si>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</si>
  <si>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</si>
  <si>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</si>
  <si>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</si>
  <si>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</si>
  <si>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</si>
  <si>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</si>
  <si>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</si>
  <si>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</si>
  <si>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</si>
  <si>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</si>
  <si>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</si>
  <si>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</si>
  <si>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</si>
  <si>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</si>
  <si>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</si>
  <si>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</si>
  <si>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</si>
  <si>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</si>
  <si>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</si>
  <si>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</si>
  <si>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</si>
  <si>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</si>
  <si>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</si>
  <si>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</si>
  <si>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</si>
  <si>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</si>
  <si>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</si>
  <si>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</si>
  <si>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</si>
  <si>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</si>
  <si>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</si>
  <si>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</si>
  <si>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</si>
  <si>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</si>
  <si>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</si>
  <si>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</si>
  <si>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</si>
  <si>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</si>
  <si>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</si>
  <si>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</si>
  <si>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</si>
  <si>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</si>
  <si>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</si>
  <si>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</si>
  <si>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</si>
  <si>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</si>
  <si>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</si>
  <si>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</si>
  <si>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</si>
  <si>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</si>
  <si>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</si>
  <si>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</si>
  <si>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</si>
  <si>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</si>
  <si>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</si>
  <si>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</si>
  <si>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</si>
  <si>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</si>
  <si>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</si>
  <si>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</si>
  <si>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</si>
  <si>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</si>
  <si>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</si>
  <si>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</si>
  <si>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</si>
  <si>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</si>
  <si>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</si>
  <si>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</si>
  <si>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</si>
  <si>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</si>
  <si>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</si>
  <si>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</si>
  <si>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</si>
  <si>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</si>
  <si>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</si>
  <si>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</si>
  <si>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</si>
  <si>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</si>
  <si>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</si>
  <si>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</si>
  <si>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</si>
  <si>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</si>
  <si>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</si>
  <si>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</si>
  <si>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</si>
  <si>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</si>
  <si>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</si>
  <si>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</si>
  <si>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</si>
  <si>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</si>
  <si>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</si>
  <si>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</si>
  <si>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</si>
  <si>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</si>
  <si>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</si>
  <si>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</si>
  <si>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</si>
  <si>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</si>
  <si>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</si>
  <si>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</si>
  <si>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</si>
  <si>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</si>
  <si>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</si>
  <si>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</si>
  <si>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</si>
  <si>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</si>
  <si>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</si>
  <si>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</si>
  <si>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</si>
  <si>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</si>
  <si>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</si>
  <si>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</si>
  <si>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</si>
  <si>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</si>
  <si>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</si>
  <si>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</si>
  <si>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</si>
  <si>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</si>
  <si>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</si>
  <si>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</si>
  <si>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</si>
  <si>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</si>
  <si>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</si>
  <si>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</si>
  <si>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</si>
  <si>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</si>
  <si>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</si>
  <si>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</si>
  <si>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</si>
  <si>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</si>
  <si>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</si>
  <si>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</si>
  <si>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</si>
  <si>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</si>
  <si>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</si>
  <si>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</si>
  <si>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</si>
  <si>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</si>
  <si>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</si>
  <si>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</si>
  <si>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</si>
  <si>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</si>
  <si>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</si>
  <si>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</si>
  <si>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</si>
  <si>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</si>
  <si>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</si>
  <si>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</si>
  <si>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</si>
  <si>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</si>
  <si>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</si>
  <si>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</si>
  <si>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</si>
  <si>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</si>
  <si>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</si>
  <si>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</si>
  <si>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</si>
  <si>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</si>
  <si>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</si>
  <si>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</si>
  <si>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</si>
  <si>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</si>
  <si>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</si>
  <si>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</si>
  <si>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</si>
  <si>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</si>
  <si>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</si>
  <si>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</si>
  <si>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</si>
  <si>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</si>
  <si>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</si>
  <si>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</si>
  <si>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</si>
  <si>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</si>
  <si>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</si>
  <si>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</si>
  <si>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</si>
  <si>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</si>
  <si>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</si>
  <si>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</si>
  <si>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</si>
  <si>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</si>
  <si>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</si>
  <si>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</si>
  <si>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</si>
  <si>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</si>
  <si>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</si>
  <si>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</si>
  <si>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</si>
  <si>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</si>
  <si>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</si>
  <si>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</si>
  <si>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</si>
  <si>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</si>
  <si>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</si>
  <si>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</si>
  <si>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</si>
  <si>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</si>
  <si>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</si>
  <si>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</si>
  <si>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</si>
  <si>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</si>
  <si>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</si>
  <si>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</si>
  <si>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</si>
  <si>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</si>
  <si>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</si>
  <si>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</si>
  <si>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</si>
  <si>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</si>
  <si>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</si>
  <si>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</si>
  <si>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</si>
  <si>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</si>
  <si>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</si>
  <si>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</si>
  <si>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</si>
  <si>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</si>
  <si>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</si>
  <si>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</si>
  <si>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</si>
  <si>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</si>
  <si>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</si>
  <si>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</si>
  <si>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</si>
  <si>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</si>
  <si>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</si>
  <si>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</si>
  <si>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</si>
  <si>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</si>
  <si>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</si>
  <si>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</si>
  <si>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</si>
  <si>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</si>
  <si>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</si>
  <si>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</si>
  <si>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</si>
  <si>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</si>
  <si>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</si>
  <si>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</si>
  <si>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</si>
  <si>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</si>
  <si>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</si>
  <si>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</si>
  <si>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</si>
  <si>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</si>
  <si>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</si>
  <si>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</si>
  <si>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</si>
  <si>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</si>
  <si>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</si>
  <si>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</si>
  <si>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</si>
  <si>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</si>
  <si>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</si>
  <si>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</si>
  <si>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</si>
  <si>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</si>
  <si>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</si>
  <si>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</si>
  <si>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</si>
  <si>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</si>
  <si>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</si>
  <si>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</si>
  <si>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</si>
  <si>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</si>
  <si>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</si>
  <si>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</si>
  <si>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</si>
  <si>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</si>
  <si>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</si>
  <si>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</si>
  <si>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</si>
  <si>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</si>
  <si>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</si>
  <si>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</si>
  <si>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</si>
  <si>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</si>
  <si>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</si>
  <si>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</si>
  <si>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</si>
  <si>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</si>
  <si>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</si>
  <si>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</si>
  <si>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</si>
  <si>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</si>
  <si>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</si>
  <si>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</si>
  <si>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</si>
  <si>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</si>
  <si>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</si>
  <si>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</si>
  <si>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</si>
  <si>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</si>
  <si>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</si>
  <si>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</si>
  <si>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</si>
  <si>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</si>
  <si>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</si>
  <si>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</si>
  <si>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</si>
  <si>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</si>
  <si>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</si>
  <si>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</si>
  <si>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</si>
  <si>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</si>
  <si>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</si>
  <si>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</si>
  <si>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</si>
  <si>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</si>
  <si>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</si>
  <si>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</si>
  <si>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</si>
  <si>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</si>
  <si>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</si>
  <si>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</si>
  <si>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</si>
  <si>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</si>
  <si>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</si>
  <si>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</si>
  <si>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</si>
  <si>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</si>
  <si>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</si>
  <si>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</si>
  <si>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</si>
  <si>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</si>
  <si>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</si>
  <si>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</si>
  <si>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</si>
  <si>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</si>
  <si>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</si>
  <si>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</si>
  <si>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</si>
  <si>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</si>
  <si>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</si>
  <si>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</si>
  <si>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</si>
  <si>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</si>
  <si>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</si>
  <si>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</si>
  <si>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</si>
  <si>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</si>
  <si>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</si>
  <si>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</si>
  <si>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</si>
  <si>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</si>
  <si>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</si>
  <si>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</si>
  <si>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</si>
  <si>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</si>
  <si>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</si>
  <si>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</si>
  <si>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</si>
  <si>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</si>
  <si>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</si>
  <si>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</si>
  <si>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</si>
  <si>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</si>
  <si>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</si>
  <si>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</si>
  <si>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</si>
  <si>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</si>
  <si>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</si>
  <si>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</si>
  <si>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</si>
  <si>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</si>
  <si>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</si>
  <si>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</si>
  <si>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</si>
  <si>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</si>
  <si>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</si>
  <si>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</si>
  <si>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</si>
  <si>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</si>
  <si>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</si>
  <si>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</si>
  <si>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</si>
  <si>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</si>
  <si>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</si>
  <si>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</si>
  <si>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</si>
  <si>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</si>
  <si>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</si>
  <si>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</si>
  <si>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</si>
  <si>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</si>
  <si>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</si>
  <si>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</si>
  <si>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</si>
  <si>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</si>
  <si>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</si>
  <si>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</si>
  <si>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</si>
  <si>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</si>
  <si>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</si>
  <si>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</si>
  <si>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</si>
  <si>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</si>
  <si>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</si>
  <si>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</si>
  <si>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</si>
  <si>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</si>
  <si>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</si>
  <si>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</si>
  <si>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</si>
  <si>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</si>
  <si>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</si>
  <si>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</si>
  <si>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</si>
  <si>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</si>
  <si>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</si>
  <si>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</si>
  <si>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</si>
  <si>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</si>
  <si>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</si>
  <si>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</si>
  <si>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</si>
  <si>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</si>
  <si>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</si>
  <si>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</si>
  <si>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</si>
  <si>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</si>
  <si>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MALAGA</t>
  </si>
  <si>
    <t>Resumenes por Partidos Judiciales</t>
  </si>
  <si>
    <t>FUENGIROLA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</si>
</sst>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hvFcZzO9wQMAfMYmvSHU9iprig6RcvSENmJXFy7SfGnqZxbl1JSqRTkijV7o3YyS2A4mRWJ6pGRCF5Y2wfCDg==" saltValue="XsX/xomvskPKmnX7daT3f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32.825119236883943</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101</v>
      </c>
      <c r="D10" s="225">
        <f>IF(ISNUMBER(Datos!I10),Datos!I10," - ")</f>
        <v>101</v>
      </c>
      <c r="E10" s="226">
        <f>IF(ISNUMBER(Datos!J10),Datos!J10," - ")</f>
        <v>39</v>
      </c>
      <c r="F10" s="226">
        <f>IF(ISNUMBER(Datos!K10),Datos!K10," - ")</f>
        <v>34</v>
      </c>
      <c r="G10" s="1034" t="str">
        <f>IF(Datos!E10&lt;&gt;"",Datos!E10,Datos!D10)</f>
        <v>37</v>
      </c>
      <c r="H10" s="227">
        <f>IF(ISNUMBER(Datos!L10),Datos!L10," - ")</f>
        <v>106</v>
      </c>
      <c r="I10" s="1044" t="str">
        <f>IF(ISNUMBER(Datos!AS10/Datos!BM10),Datos!AS10/Datos!BM10," - ")</f>
        <v xml:space="preserve"> - </v>
      </c>
      <c r="J10" s="1045">
        <f>IF(ISNUMBER(Datos!BY10/Datos!CN10),Datos!BY10/Datos!CN10," - ")</f>
        <v>0</v>
      </c>
      <c r="K10" s="230">
        <f t="shared" ref="K10:K12" si="1">IF(ISNUMBER((E10-F10)/C10),(E10-F10)/C10," - ")</f>
        <v>4.9504950495049507E-2</v>
      </c>
      <c r="L10" s="1025">
        <f>IF(ISNUMBER(NºAsuntos!I10/NºAsuntos!G10),(NºAsuntos!I10/NºAsuntos!G10)*11," - ")</f>
        <v>34.294117647058826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101</v>
      </c>
      <c r="D13" s="1049">
        <f>SUBTOTAL(9,D9:D12)</f>
        <v>101</v>
      </c>
      <c r="E13" s="1050">
        <f>SUBTOTAL(9,E9:E12)</f>
        <v>39</v>
      </c>
      <c r="F13" s="1051">
        <f>SUBTOTAL(9,F9:F12)</f>
        <v>34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4</v>
      </c>
      <c r="B15" s="502" t="str">
        <f>Datos!A15</f>
        <v xml:space="preserve">Jdos. Instrucción                               </v>
      </c>
      <c r="C15" s="225">
        <f t="shared" ref="C15:C17" si="2">IF(ISNUMBER(H15-E15+F15),H15-E15+F15," - ")</f>
        <v>1705</v>
      </c>
      <c r="D15" s="225">
        <f>IF(ISNUMBER(IF(D_I="SI",Datos!I15,Datos!I15+Datos!AC15)),IF(D_I="SI",Datos!I15,Datos!I15+Datos!AC15)," - ")</f>
        <v>1668</v>
      </c>
      <c r="E15" s="226">
        <f>IF(ISNUMBER(IF(D_I="SI",Datos!J15,Datos!J15+Datos!AD15)),IF(D_I="SI",Datos!J15,Datos!J15+Datos!AD15)," - ")</f>
        <v>2902</v>
      </c>
      <c r="F15" s="226">
        <f>IF(ISNUMBER(IF(D_I="SI",Datos!K15,Datos!K15+Datos!AE15)),IF(D_I="SI",Datos!K15,Datos!K15+Datos!AE15)," - ")</f>
        <v>2940</v>
      </c>
      <c r="G15" s="1034" t="str">
        <f>IF(Datos!E15&lt;&gt;"",Datos!E15,Datos!D15)</f>
        <v>03</v>
      </c>
      <c r="H15" s="227">
        <f>IF(ISNUMBER(IF(D_I="SI",Datos!L15,Datos!L15+Datos!AF15)),IF(D_I="SI",Datos!L15,Datos!L15+Datos!AF15)," - ")</f>
        <v>1667</v>
      </c>
      <c r="I15" s="1044" t="str">
        <f>IF(ISNUMBER(Datos!AS15/Datos!BM15),Datos!AS15/Datos!BM15," - ")</f>
        <v xml:space="preserve"> - </v>
      </c>
      <c r="J15" s="1045">
        <f>IF(ISNUMBER(Datos!BY15/Datos!CN15),Datos!BY15/Datos!CN15," - ")</f>
        <v>0</v>
      </c>
      <c r="K15" s="230">
        <f t="shared" ref="K15:K17" si="3">IF(ISNUMBER((E15-F15)/C15),(E15-F15)/C15," - ")</f>
        <v>-2.2287390029325515E-2</v>
      </c>
      <c r="L15" s="1025">
        <f>IF(ISNUMBER(NºAsuntos!I15/NºAsuntos!G15),(NºAsuntos!I15/NºAsuntos!G15)*11," - ")</f>
        <v>6.2370748299319718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230</v>
      </c>
      <c r="D17" s="225">
        <f>IF(ISNUMBER(IF(D_I="SI",Datos!I17,Datos!I17+Datos!AC17)),IF(D_I="SI",Datos!I17,Datos!I17+Datos!AC17)," - ")</f>
        <v>230</v>
      </c>
      <c r="E17" s="226">
        <f>IF(ISNUMBER(IF(D_I="SI",Datos!J17,Datos!J17+Datos!AD17)),IF(D_I="SI",Datos!J17,Datos!J17+Datos!AD17)," - ")</f>
        <v>282</v>
      </c>
      <c r="F17" s="226">
        <f>IF(ISNUMBER(IF(D_I="SI",Datos!K17,Datos!K17+Datos!AE17)),IF(D_I="SI",Datos!K17,Datos!K17+Datos!AE17)," - ")</f>
        <v>288</v>
      </c>
      <c r="G17" s="1034" t="str">
        <f>IF(Datos!E17&lt;&gt;"",Datos!E17,Datos!D17)</f>
        <v>37</v>
      </c>
      <c r="H17" s="227">
        <f>IF(ISNUMBER(IF(D_I="SI",Datos!L17,Datos!L17+Datos!AF17)),IF(D_I="SI",Datos!L17,Datos!L17+Datos!AF17)," - ")</f>
        <v>224</v>
      </c>
      <c r="I17" s="1044" t="str">
        <f>IF(ISNUMBER(Datos!AS17/Datos!BM17),Datos!AS17/Datos!BM17," - ")</f>
        <v xml:space="preserve"> - </v>
      </c>
      <c r="J17" s="1045" t="str">
        <f>IF(ISNUMBER((Datos!BY17+Datos!BZ17)/Datos!CN17),(Datos!BY17+Datos!BZ17)/Datos!CN17," - ")</f>
        <v xml:space="preserve"> - </v>
      </c>
      <c r="K17" s="230">
        <f t="shared" si="3"/>
        <v>-2.6086956521739129E-2</v>
      </c>
      <c r="L17" s="1025">
        <f>IF(ISNUMBER(NºAsuntos!I17/NºAsuntos!G17),(NºAsuntos!I17/NºAsuntos!G17)*11," - ")</f>
        <v>8.5555555555555554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1935</v>
      </c>
      <c r="D18" s="1049">
        <f>SUBTOTAL(9,D15:D17)</f>
        <v>1898</v>
      </c>
      <c r="E18" s="1050">
        <f>SUBTOTAL(9,E15:E17)</f>
        <v>3184</v>
      </c>
      <c r="F18" s="1050">
        <f>SUBTOTAL(9,F15:F17)</f>
        <v>3228</v>
      </c>
      <c r="G18" s="1052" t="str">
        <f ca="1">INDIRECT(CONCATENATE("G",ROW()-1))</f>
        <v>37</v>
      </c>
      <c r="H18" s="1053">
        <f ca="1">SUMIF(G$14:G17,G18,H$14:H17)</f>
        <v>224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2036</v>
      </c>
      <c r="D19" s="1071">
        <f>SUBTOTAL(9,D9:D18)</f>
        <v>1999</v>
      </c>
      <c r="E19" s="1072">
        <f>SUBTOTAL(9,E9:E18)</f>
        <v>3223</v>
      </c>
      <c r="F19" s="1072">
        <f>SUBTOTAL(9,F9:F18)</f>
        <v>3262</v>
      </c>
      <c r="G19" s="1073"/>
      <c r="H19" s="1074">
        <f ca="1">SUMIF(B9:B18,"TOTAL",H9:H18)</f>
        <v>224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zHrIafH4OnVJDXYJZxZn+6zQIUQ4OBVTp6mq9/Ivbsc4D1RIi6Najg5NXhiyigDEamJI22rEBunzH+Fk/aap3g==" saltValue="zcOiMAFhAEwrHs5pIvfq0g=="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Glbr0Ijg6VIUH4Xw8oY9P5TnOzZZm6nABNs8cZKIRc/PEKFXFfoXmJgkKGx33BuYv/xjvmrK566kxcDzOn81Q==" saltValue="UIWiOGD0TS3ayziq4PmnY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MALAGA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v>7338</v>
      </c>
      <c r="J9" s="181">
        <v>2512</v>
      </c>
      <c r="K9" s="181">
        <v>2415</v>
      </c>
      <c r="L9" s="181">
        <v>7432</v>
      </c>
      <c r="M9" s="181">
        <v>476</v>
      </c>
      <c r="N9" s="181">
        <v>1132</v>
      </c>
      <c r="O9" s="181">
        <v>940</v>
      </c>
      <c r="P9" s="181">
        <v>498</v>
      </c>
      <c r="Q9" s="181">
        <v>320</v>
      </c>
      <c r="R9" s="181">
        <v>7472</v>
      </c>
      <c r="S9" s="181">
        <v>5521</v>
      </c>
      <c r="T9" s="181">
        <v>2258</v>
      </c>
      <c r="U9" s="181">
        <v>1823</v>
      </c>
      <c r="V9" s="181">
        <v>5956</v>
      </c>
      <c r="W9" s="181">
        <v>397</v>
      </c>
      <c r="X9" s="188">
        <v>910</v>
      </c>
      <c r="Y9" s="191">
        <v>72</v>
      </c>
      <c r="Z9" s="181">
        <v>105</v>
      </c>
      <c r="AA9" s="181">
        <v>101</v>
      </c>
      <c r="AB9" s="181">
        <v>76</v>
      </c>
      <c r="AC9" s="181">
        <v>0</v>
      </c>
      <c r="AD9" s="181">
        <v>0</v>
      </c>
      <c r="AE9" s="181">
        <v>0</v>
      </c>
      <c r="AF9" s="188">
        <v>0</v>
      </c>
      <c r="AG9" s="191">
        <v>81</v>
      </c>
      <c r="AH9" s="181">
        <v>96</v>
      </c>
      <c r="AI9" s="181">
        <v>119</v>
      </c>
      <c r="AJ9" s="192">
        <v>58</v>
      </c>
      <c r="AK9" s="180">
        <v>0</v>
      </c>
      <c r="AL9" s="181">
        <v>0</v>
      </c>
      <c r="AM9" s="181">
        <v>0</v>
      </c>
      <c r="AN9" s="188">
        <v>0</v>
      </c>
      <c r="AO9" s="258">
        <v>5</v>
      </c>
      <c r="AP9" s="154">
        <v>5</v>
      </c>
      <c r="AQ9" s="154">
        <v>5</v>
      </c>
      <c r="AR9" s="193">
        <v>5</v>
      </c>
      <c r="AS9" s="338" t="s">
        <v>799</v>
      </c>
      <c r="AT9" s="195"/>
      <c r="AU9" s="194"/>
      <c r="AV9" s="195"/>
      <c r="AW9" s="194"/>
      <c r="AX9" s="195"/>
      <c r="AY9" s="123">
        <f>IF(ISNUMBER(IF(J_V="SI",S9,S9+AG9)),IF(J_V="SI",S9,S9+AG9)," - ")</f>
        <v>5602</v>
      </c>
      <c r="AZ9" s="123">
        <f>IF(ISNUMBER(IF(J_V="SI",T9,T9+AH9)),IF(J_V="SI",T9,T9+AH9)," - ")</f>
        <v>2354</v>
      </c>
      <c r="BA9" s="124">
        <f>IF(ISNUMBER(IF(J_V="SI",U9,U9+AI9)),IF(J_V="SI",U9,U9+AI9)," - ")</f>
        <v>1942</v>
      </c>
      <c r="BB9" s="124">
        <f>IF(ISNUMBER(IF(J_V="SI",V9,V9+AJ9)),IF(J_V="SI",V9,V9+AJ9)," - ")</f>
        <v>6014</v>
      </c>
      <c r="BC9" s="125">
        <f>IF(ISNUMBER(X9),X9," - ")</f>
        <v>910</v>
      </c>
      <c r="BD9" s="126">
        <f>IF(ISNUMBER(BA9/AZ9),BA9/AZ9," - ")</f>
        <v>0.82497875955819877</v>
      </c>
      <c r="BE9" s="127">
        <f>IF(ISNUMBER(BB9/BA9),BB9/BA9, " - ")</f>
        <v>3.0968074150360452</v>
      </c>
      <c r="BF9" s="127">
        <f>IF(ISNUMBER(BC9/BA9),BC9/BA9, " - ")</f>
        <v>0.46858908341915551</v>
      </c>
      <c r="BG9" s="196">
        <f>IF(ISNUMBER((AY9+AZ9)/BA9),(AY9+AZ9)/BA9," - ")</f>
        <v>4.0968074150360456</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101</v>
      </c>
      <c r="J10" s="181">
        <v>39</v>
      </c>
      <c r="K10" s="181">
        <v>34</v>
      </c>
      <c r="L10" s="181">
        <v>106</v>
      </c>
      <c r="M10" s="181">
        <v>16</v>
      </c>
      <c r="N10" s="181">
        <v>11</v>
      </c>
      <c r="O10" s="181">
        <v>9</v>
      </c>
      <c r="P10" s="181">
        <v>10</v>
      </c>
      <c r="Q10" s="181">
        <v>2</v>
      </c>
      <c r="R10" s="181">
        <v>93</v>
      </c>
      <c r="S10" s="181">
        <v>117</v>
      </c>
      <c r="T10" s="181">
        <v>41</v>
      </c>
      <c r="U10" s="181">
        <v>62</v>
      </c>
      <c r="V10" s="181">
        <v>96</v>
      </c>
      <c r="W10" s="181">
        <v>20</v>
      </c>
      <c r="X10" s="188">
        <v>27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117</v>
      </c>
      <c r="AZ10" s="129">
        <f t="shared" si="0"/>
        <v>41</v>
      </c>
      <c r="BA10" s="129">
        <f t="shared" si="0"/>
        <v>62</v>
      </c>
      <c r="BB10" s="129">
        <f t="shared" si="0"/>
        <v>96</v>
      </c>
      <c r="BC10" s="125">
        <f t="shared" si="0"/>
        <v>20</v>
      </c>
      <c r="BD10" s="126">
        <f>IF(ISNUMBER(BA10/AZ10),BA10/AZ10," - ")</f>
        <v>1.5121951219512195</v>
      </c>
      <c r="BE10" s="127">
        <f>IF(ISNUMBER(BB10/BA10),BB10/BA10, " - ")</f>
        <v>1.5483870967741935</v>
      </c>
      <c r="BF10" s="127">
        <f>IF(ISNUMBER(BC10/BA10),BC10/BA10, " - ")</f>
        <v>0.32258064516129031</v>
      </c>
      <c r="BG10" s="196">
        <f>IF(ISNUMBER((AY10+AZ10)/BA10),(AY10+AZ10)/BA10," - ")</f>
        <v>2.5483870967741935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7439</v>
      </c>
      <c r="J13" s="184">
        <f t="shared" si="6"/>
        <v>2551</v>
      </c>
      <c r="K13" s="184">
        <f t="shared" si="6"/>
        <v>2449</v>
      </c>
      <c r="L13" s="184">
        <f t="shared" si="6"/>
        <v>7538</v>
      </c>
      <c r="M13" s="184">
        <f t="shared" si="6"/>
        <v>492</v>
      </c>
      <c r="N13" s="184">
        <f t="shared" si="6"/>
        <v>1143</v>
      </c>
      <c r="O13" s="184">
        <f t="shared" si="6"/>
        <v>949</v>
      </c>
      <c r="P13" s="184">
        <f t="shared" si="6"/>
        <v>508</v>
      </c>
      <c r="Q13" s="184">
        <f t="shared" si="6"/>
        <v>322</v>
      </c>
      <c r="R13" s="184">
        <f t="shared" si="6"/>
        <v>7565</v>
      </c>
      <c r="S13" s="184">
        <f t="shared" si="6"/>
        <v>5638</v>
      </c>
      <c r="T13" s="184">
        <f t="shared" si="6"/>
        <v>2299</v>
      </c>
      <c r="U13" s="184">
        <f t="shared" si="6"/>
        <v>1885</v>
      </c>
      <c r="V13" s="184">
        <f t="shared" si="6"/>
        <v>6052</v>
      </c>
      <c r="W13" s="184">
        <f t="shared" si="6"/>
        <v>417</v>
      </c>
      <c r="X13" s="184">
        <f t="shared" si="6"/>
        <v>937</v>
      </c>
      <c r="Y13" s="184">
        <f t="shared" si="6"/>
        <v>72</v>
      </c>
      <c r="Z13" s="184">
        <f t="shared" si="6"/>
        <v>105</v>
      </c>
      <c r="AA13" s="184">
        <f t="shared" si="6"/>
        <v>101</v>
      </c>
      <c r="AB13" s="184">
        <f t="shared" si="6"/>
        <v>76</v>
      </c>
      <c r="AC13" s="184">
        <f t="shared" si="6"/>
        <v>0</v>
      </c>
      <c r="AD13" s="184">
        <f t="shared" si="6"/>
        <v>0</v>
      </c>
      <c r="AE13" s="184">
        <f t="shared" si="6"/>
        <v>0</v>
      </c>
      <c r="AF13" s="184">
        <f>SUBTOTAL(9,AF9:AF12)</f>
        <v>0</v>
      </c>
      <c r="AG13" s="184">
        <f t="shared" ref="AG13:AT13" si="7">SUBTOTAL(9,AG8:AG12)</f>
        <v>81</v>
      </c>
      <c r="AH13" s="184">
        <f t="shared" si="7"/>
        <v>96</v>
      </c>
      <c r="AI13" s="184">
        <f t="shared" si="7"/>
        <v>119</v>
      </c>
      <c r="AJ13" s="184">
        <f t="shared" si="7"/>
        <v>58</v>
      </c>
      <c r="AK13" s="184">
        <f t="shared" si="7"/>
        <v>0</v>
      </c>
      <c r="AL13" s="184">
        <f t="shared" si="7"/>
        <v>0</v>
      </c>
      <c r="AM13" s="184">
        <f t="shared" si="7"/>
        <v>0</v>
      </c>
      <c r="AN13" s="184">
        <f t="shared" si="7"/>
        <v>0</v>
      </c>
      <c r="AO13" s="184">
        <f t="shared" si="7"/>
        <v>6</v>
      </c>
      <c r="AP13" s="184">
        <f t="shared" si="7"/>
        <v>6</v>
      </c>
      <c r="AQ13" s="184">
        <f t="shared" si="7"/>
        <v>6</v>
      </c>
      <c r="AR13" s="184">
        <f t="shared" si="7"/>
        <v>6</v>
      </c>
      <c r="AS13" s="184">
        <f t="shared" si="7"/>
        <v>0</v>
      </c>
      <c r="AT13" s="184">
        <f t="shared" si="7"/>
        <v>0</v>
      </c>
      <c r="AU13" s="204"/>
      <c r="AV13" s="132"/>
      <c r="AW13" s="204"/>
      <c r="AX13" s="132"/>
      <c r="AY13" s="184">
        <f>SUBTOTAL(9,AY8:AY12)</f>
        <v>5719</v>
      </c>
      <c r="AZ13" s="184">
        <f>SUBTOTAL(9,AZ8:AZ12)</f>
        <v>2395</v>
      </c>
      <c r="BA13" s="184">
        <f>SUBTOTAL(9,BA8:BA12)</f>
        <v>2004</v>
      </c>
      <c r="BB13" s="184">
        <f>SUBTOTAL(9,BB8:BB12)</f>
        <v>6110</v>
      </c>
      <c r="BC13" s="184">
        <f>SUBTOTAL(9,BC8:BC12)</f>
        <v>930</v>
      </c>
      <c r="BD13" s="205">
        <f>IF(ISNUMBER(BA13/AZ13),BA13/AZ13," - ")</f>
        <v>0.83674321503131521</v>
      </c>
      <c r="BE13" s="206">
        <f>IF(ISNUMBER(BB13/BA13),BB13/BA13, " - ")</f>
        <v>3.0489021956087825</v>
      </c>
      <c r="BF13" s="206">
        <f>IF(ISNUMBER(BC13/BA13),BC13/BA13, " - ")</f>
        <v>0.46407185628742514</v>
      </c>
      <c r="BG13" s="207">
        <f>IF(ISNUMBER((AY13+AZ13)/BA13),(AY13+AZ13)/BA13," - ")</f>
        <v>4.0489021956087825</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v>1668</v>
      </c>
      <c r="J15" s="183">
        <v>2902</v>
      </c>
      <c r="K15" s="183">
        <v>2940</v>
      </c>
      <c r="L15" s="183">
        <v>1667</v>
      </c>
      <c r="M15" s="183">
        <v>297</v>
      </c>
      <c r="N15" s="183">
        <v>1848</v>
      </c>
      <c r="O15" s="181">
        <v>108</v>
      </c>
      <c r="P15" s="183">
        <v>101</v>
      </c>
      <c r="Q15" s="183">
        <v>111</v>
      </c>
      <c r="R15" s="183">
        <v>280</v>
      </c>
      <c r="S15" s="183">
        <v>1499</v>
      </c>
      <c r="T15" s="183">
        <v>3034</v>
      </c>
      <c r="U15" s="183">
        <v>3124</v>
      </c>
      <c r="V15" s="183">
        <v>1469</v>
      </c>
      <c r="W15" s="183">
        <v>281</v>
      </c>
      <c r="X15" s="189">
        <v>2032</v>
      </c>
      <c r="Y15" s="202">
        <v>0</v>
      </c>
      <c r="Z15" s="183">
        <v>0</v>
      </c>
      <c r="AA15" s="183">
        <v>0</v>
      </c>
      <c r="AB15" s="183">
        <v>0</v>
      </c>
      <c r="AC15" s="183">
        <v>0</v>
      </c>
      <c r="AD15" s="183">
        <v>13</v>
      </c>
      <c r="AE15" s="183">
        <v>13</v>
      </c>
      <c r="AF15" s="189">
        <v>0</v>
      </c>
      <c r="AG15" s="202">
        <v>0</v>
      </c>
      <c r="AH15" s="183">
        <v>0</v>
      </c>
      <c r="AI15" s="183">
        <v>0</v>
      </c>
      <c r="AJ15" s="203">
        <v>0</v>
      </c>
      <c r="AK15" s="182">
        <v>0</v>
      </c>
      <c r="AL15" s="183">
        <v>18</v>
      </c>
      <c r="AM15" s="183">
        <v>18</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1499</v>
      </c>
      <c r="AZ15" s="129">
        <f t="shared" si="9"/>
        <v>3034</v>
      </c>
      <c r="BA15" s="129">
        <f t="shared" si="9"/>
        <v>3124</v>
      </c>
      <c r="BB15" s="129">
        <f t="shared" si="9"/>
        <v>1469</v>
      </c>
      <c r="BC15" s="125">
        <f>IF(ISNUMBER(W15),W15," - ")</f>
        <v>281</v>
      </c>
      <c r="BD15" s="126">
        <f>IF(ISNUMBER(BA15/AZ15),BA15/AZ15," - ")</f>
        <v>1.0296638101516151</v>
      </c>
      <c r="BE15" s="127">
        <f>IF(ISNUMBER(BB15/BA15),BB15/BA15, " - ")</f>
        <v>0.47023047375160049</v>
      </c>
      <c r="BF15" s="127">
        <f>IF(ISNUMBER(BC15/BA15),BC15/BA15, " - ")</f>
        <v>8.9948783610755437E-2</v>
      </c>
      <c r="BG15" s="196">
        <f t="shared" ref="BG15:BG16" si="10">IF(ISNUMBER((AY15+AZ15)/BA15),(AY15+AZ15)/BA15," - ")</f>
        <v>1.4510243277848911</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230</v>
      </c>
      <c r="J17" s="183">
        <v>282</v>
      </c>
      <c r="K17" s="183">
        <v>288</v>
      </c>
      <c r="L17" s="183">
        <v>224</v>
      </c>
      <c r="M17" s="183">
        <v>18</v>
      </c>
      <c r="N17" s="183">
        <v>184</v>
      </c>
      <c r="O17" s="183">
        <v>0</v>
      </c>
      <c r="P17" s="183">
        <v>2</v>
      </c>
      <c r="Q17" s="183">
        <v>0</v>
      </c>
      <c r="R17" s="183">
        <v>7</v>
      </c>
      <c r="S17" s="183">
        <v>301</v>
      </c>
      <c r="T17" s="183">
        <v>268</v>
      </c>
      <c r="U17" s="183">
        <v>267</v>
      </c>
      <c r="V17" s="183">
        <v>303</v>
      </c>
      <c r="W17" s="183">
        <v>31</v>
      </c>
      <c r="X17" s="189">
        <v>154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301</v>
      </c>
      <c r="AZ17" s="129">
        <f t="shared" si="14"/>
        <v>268</v>
      </c>
      <c r="BA17" s="129">
        <f t="shared" si="14"/>
        <v>267</v>
      </c>
      <c r="BB17" s="129">
        <f t="shared" si="14"/>
        <v>303</v>
      </c>
      <c r="BC17" s="125">
        <f>IF(ISNUMBER(W17),W17," - ")</f>
        <v>31</v>
      </c>
      <c r="BD17" s="126">
        <f>IF(ISNUMBER(BA17/AZ17),BA17/AZ17," - ")</f>
        <v>0.99626865671641796</v>
      </c>
      <c r="BE17" s="127">
        <f>IF(ISNUMBER(BB17/BA17),BB17/BA17, " - ")</f>
        <v>1.1348314606741574</v>
      </c>
      <c r="BF17" s="127">
        <f>IF(ISNUMBER(BC17/BA17),BC17/BA17, " - ")</f>
        <v>0.11610486891385768</v>
      </c>
      <c r="BG17" s="196">
        <f>IF(ISNUMBER((AY17+AZ17)/BA17),(AY17+AZ17)/BA17," - ")</f>
        <v>2.1310861423220975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1898</v>
      </c>
      <c r="J18" s="184">
        <f t="shared" si="15"/>
        <v>3184</v>
      </c>
      <c r="K18" s="184">
        <f t="shared" si="15"/>
        <v>3228</v>
      </c>
      <c r="L18" s="184">
        <f t="shared" si="15"/>
        <v>1891</v>
      </c>
      <c r="M18" s="184">
        <f t="shared" si="15"/>
        <v>315</v>
      </c>
      <c r="N18" s="184">
        <f t="shared" si="15"/>
        <v>2032</v>
      </c>
      <c r="O18" s="184">
        <f t="shared" si="15"/>
        <v>108</v>
      </c>
      <c r="P18" s="184">
        <f t="shared" si="15"/>
        <v>103</v>
      </c>
      <c r="Q18" s="184">
        <f t="shared" si="15"/>
        <v>111</v>
      </c>
      <c r="R18" s="184">
        <f t="shared" si="15"/>
        <v>287</v>
      </c>
      <c r="S18" s="184">
        <f t="shared" si="15"/>
        <v>1800</v>
      </c>
      <c r="T18" s="184">
        <f t="shared" si="15"/>
        <v>3302</v>
      </c>
      <c r="U18" s="184">
        <f t="shared" si="15"/>
        <v>3391</v>
      </c>
      <c r="V18" s="184">
        <f t="shared" si="15"/>
        <v>1772</v>
      </c>
      <c r="W18" s="184">
        <f t="shared" si="15"/>
        <v>312</v>
      </c>
      <c r="X18" s="184">
        <f t="shared" si="15"/>
        <v>2186</v>
      </c>
      <c r="Y18" s="184">
        <f t="shared" si="15"/>
        <v>0</v>
      </c>
      <c r="Z18" s="184">
        <f t="shared" si="15"/>
        <v>0</v>
      </c>
      <c r="AA18" s="184">
        <f t="shared" si="15"/>
        <v>0</v>
      </c>
      <c r="AB18" s="184">
        <f t="shared" si="15"/>
        <v>0</v>
      </c>
      <c r="AC18" s="184">
        <f t="shared" si="15"/>
        <v>0</v>
      </c>
      <c r="AD18" s="184">
        <f t="shared" si="15"/>
        <v>13</v>
      </c>
      <c r="AE18" s="184">
        <f t="shared" si="15"/>
        <v>13</v>
      </c>
      <c r="AF18" s="184">
        <f t="shared" si="15"/>
        <v>0</v>
      </c>
      <c r="AG18" s="184">
        <f t="shared" si="15"/>
        <v>0</v>
      </c>
      <c r="AH18" s="184">
        <f t="shared" si="15"/>
        <v>0</v>
      </c>
      <c r="AI18" s="184">
        <f t="shared" si="15"/>
        <v>0</v>
      </c>
      <c r="AJ18" s="184">
        <f t="shared" si="15"/>
        <v>0</v>
      </c>
      <c r="AK18" s="184">
        <f t="shared" si="15"/>
        <v>0</v>
      </c>
      <c r="AL18" s="184">
        <f t="shared" si="15"/>
        <v>18</v>
      </c>
      <c r="AM18" s="184">
        <f t="shared" si="15"/>
        <v>18</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1800</v>
      </c>
      <c r="AZ18" s="184">
        <f>SUBTOTAL(9,AZ14:AZ17)</f>
        <v>3302</v>
      </c>
      <c r="BA18" s="184">
        <f>SUBTOTAL(9,BA14:BA17)</f>
        <v>3391</v>
      </c>
      <c r="BB18" s="184">
        <f>SUBTOTAL(9,BB14:BB17)</f>
        <v>1772</v>
      </c>
      <c r="BC18" s="184">
        <f>SUBTOTAL(9,BC14:BC17)</f>
        <v>312</v>
      </c>
      <c r="BD18" s="205">
        <f>IF(ISNUMBER(BA18/AZ18),BA18/AZ18," - ")</f>
        <v>1.0269533615990309</v>
      </c>
      <c r="BE18" s="206">
        <f>IF(ISNUMBER(BB18/BA18),BB18/BA18, " - ")</f>
        <v>0.52255971689767033</v>
      </c>
      <c r="BF18" s="206">
        <f>IF(ISNUMBER(BC18/BA18),BC18/BA18, " - ")</f>
        <v>9.2008257151282802E-2</v>
      </c>
      <c r="BG18" s="207">
        <f>IF(ISNUMBER((AY18+AZ18)/BA18),(AY18+AZ18)/BA18," - ")</f>
        <v>1.504570923031554</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9337</v>
      </c>
      <c r="J19" s="134">
        <f t="shared" si="18"/>
        <v>5735</v>
      </c>
      <c r="K19" s="134">
        <f t="shared" si="18"/>
        <v>5677</v>
      </c>
      <c r="L19" s="134">
        <f t="shared" si="18"/>
        <v>9429</v>
      </c>
      <c r="M19" s="134">
        <f t="shared" si="18"/>
        <v>807</v>
      </c>
      <c r="N19" s="134">
        <f t="shared" si="18"/>
        <v>3175</v>
      </c>
      <c r="O19" s="134">
        <f t="shared" si="18"/>
        <v>1057</v>
      </c>
      <c r="P19" s="134">
        <f t="shared" si="18"/>
        <v>611</v>
      </c>
      <c r="Q19" s="134">
        <f t="shared" si="18"/>
        <v>433</v>
      </c>
      <c r="R19" s="134">
        <f t="shared" si="18"/>
        <v>7852</v>
      </c>
      <c r="S19" s="134">
        <f t="shared" si="18"/>
        <v>7438</v>
      </c>
      <c r="T19" s="134">
        <f t="shared" si="18"/>
        <v>5601</v>
      </c>
      <c r="U19" s="134">
        <f t="shared" si="18"/>
        <v>5276</v>
      </c>
      <c r="V19" s="134">
        <f t="shared" si="18"/>
        <v>7824</v>
      </c>
      <c r="W19" s="134">
        <f t="shared" si="18"/>
        <v>729</v>
      </c>
      <c r="X19" s="134">
        <f t="shared" si="18"/>
        <v>3123</v>
      </c>
      <c r="Y19" s="134">
        <f t="shared" si="18"/>
        <v>72</v>
      </c>
      <c r="Z19" s="134">
        <f t="shared" si="18"/>
        <v>105</v>
      </c>
      <c r="AA19" s="134">
        <f t="shared" si="18"/>
        <v>101</v>
      </c>
      <c r="AB19" s="134">
        <f t="shared" si="18"/>
        <v>76</v>
      </c>
      <c r="AC19" s="134">
        <f t="shared" si="18"/>
        <v>0</v>
      </c>
      <c r="AD19" s="134">
        <f t="shared" si="18"/>
        <v>13</v>
      </c>
      <c r="AE19" s="134">
        <f t="shared" si="18"/>
        <v>13</v>
      </c>
      <c r="AF19" s="134">
        <f t="shared" si="18"/>
        <v>0</v>
      </c>
      <c r="AG19" s="134">
        <f t="shared" si="18"/>
        <v>81</v>
      </c>
      <c r="AH19" s="134">
        <f t="shared" si="18"/>
        <v>96</v>
      </c>
      <c r="AI19" s="134">
        <f t="shared" si="18"/>
        <v>119</v>
      </c>
      <c r="AJ19" s="134">
        <f t="shared" si="18"/>
        <v>58</v>
      </c>
      <c r="AK19" s="134">
        <f t="shared" si="18"/>
        <v>0</v>
      </c>
      <c r="AL19" s="134">
        <f t="shared" si="18"/>
        <v>18</v>
      </c>
      <c r="AM19" s="134">
        <f t="shared" si="18"/>
        <v>18</v>
      </c>
      <c r="AN19" s="210">
        <f t="shared" si="18"/>
        <v>0</v>
      </c>
      <c r="AO19" s="211">
        <v>10</v>
      </c>
      <c r="AP19" s="211">
        <v>10</v>
      </c>
      <c r="AQ19" s="211">
        <v>10</v>
      </c>
      <c r="AR19" s="211">
        <v>10</v>
      </c>
      <c r="AS19" s="153">
        <f t="shared" si="18"/>
        <v>0</v>
      </c>
      <c r="AT19" s="153">
        <f t="shared" si="18"/>
        <v>0</v>
      </c>
      <c r="AU19" s="211"/>
      <c r="AV19" s="212"/>
      <c r="AW19" s="211"/>
      <c r="AX19" s="212"/>
      <c r="AY19" s="133">
        <f>SUBTOTAL(9,AY9:AY18)</f>
        <v>7519</v>
      </c>
      <c r="AZ19" s="134">
        <f>SUBTOTAL(9,AZ9:AZ18)</f>
        <v>5697</v>
      </c>
      <c r="BA19" s="134">
        <f>SUBTOTAL(9,BA9:BA18)</f>
        <v>5395</v>
      </c>
      <c r="BB19" s="134">
        <f>SUBTOTAL(9,BB9:BB18)</f>
        <v>7882</v>
      </c>
      <c r="BC19" s="135">
        <f>SUBTOTAL(9,BC9:BC18)</f>
        <v>1242</v>
      </c>
      <c r="BD19" s="213">
        <f>IF(ISNUMBER(BA19/AZ19),BA19/AZ19," - ")</f>
        <v>0.94698964367210814</v>
      </c>
      <c r="BE19" s="210">
        <f>IF(ISNUMBER(BB19/BA19),BB19/BA19, " - ")</f>
        <v>1.460982391102873</v>
      </c>
      <c r="BF19" s="210">
        <f>IF(ISNUMBER(BC19/BA19),BC19/BA19, " - ")</f>
        <v>0.23021316033364225</v>
      </c>
      <c r="BG19" s="135">
        <f>IF(ISNUMBER((AY19+AZ19)/BA19),(AY19+AZ19)/BA19," - ")</f>
        <v>2.44967562557924</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t7/16eWpsdD59kdCej7CmkxIq40qrEMs+Az1WF29oIV3Qf8sVkSBGmZ26zi2eIRzfV2aHY7Ai8GNTSVp767j/Q==" saltValue="LNm+E0hBd/SayU1//CMmMA=="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MALAGA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i20RewcdewXNL1P+Z4VaK1MgIMCi2EkjE/TQWufzZ5IH++Q0gvLLi6uMZgkwvtkoArbdxhcBRlNqTq793N8Xcw==" saltValue="tSHpzqX3kZnj5jIxBkPJFw=="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MALAGA  Resumenes por Partidos Judiciales  FUENGIROLA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105</v>
      </c>
      <c r="O9" s="334"/>
      <c r="P9" s="334"/>
      <c r="Q9" s="226">
        <f>IF(ISNUMBER(Datos!P9),Datos!P9,0)</f>
        <v>498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320</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76</v>
      </c>
      <c r="AI9" s="334" t="str">
        <f>IF(ISNUMBER(Datos!CD9),Datos!CD9,"-")</f>
        <v>-</v>
      </c>
      <c r="AJ9" s="334" t="str">
        <f>IF(ISNUMBER(Datos!EN9),Datos!EN9," - ")</f>
        <v xml:space="preserve"> - </v>
      </c>
      <c r="AK9" s="334"/>
      <c r="AL9" s="479"/>
      <c r="AM9" s="335">
        <f>IF(ISNUMBER(Datos!R9),Datos!R9," - ")</f>
        <v>7472</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476</v>
      </c>
      <c r="BD9" s="229">
        <f>IF(ISNUMBER(Datos!N9),Datos!N9," - ")</f>
        <v>1132</v>
      </c>
      <c r="BE9" s="229" t="str">
        <f>IF(ISNUMBER(Datos!BW9),Datos!BW9," - ")</f>
        <v xml:space="preserve"> - </v>
      </c>
      <c r="BF9" s="228" t="str">
        <f>IF(ISNUMBER(Datos!BX9),Datos!BX9," - ")</f>
        <v xml:space="preserve"> - </v>
      </c>
      <c r="BG9" s="243">
        <f>IF(ISNUMBER(IF(J_V="SI",Datos!K9/Datos!J9,(Datos!K9+Datos!AA9)/(Datos!J9+Datos!Z9))),IF(J_V="SI",Datos!K9/Datos!J9,(Datos!K9+Datos!AA9)/(Datos!J9+Datos!Z9))," - ")</f>
        <v>0.96140619029423002</v>
      </c>
      <c r="BH9" s="260">
        <f>IF(ISNUMBER(((IF(J_V="SI",Datos!L9/Datos!K9,(Datos!L9+Datos!AB9)/(Datos!K9+Datos!AA9)))*11)/factor_trimestre),((IF(J_V="SI",Datos!L9/Datos!K9,(Datos!L9+Datos!AB9)/(Datos!K9+Datos!AA9)))*11)/factor_trimestre," - ")</f>
        <v>8.9523052464228936</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2.4403619413216341E-2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1</v>
      </c>
      <c r="F10" s="225">
        <f>IF(ISNUMBER(Datos!L10+Datos!K10-Datos!J10),Datos!L10+Datos!K10-Datos!J10," - ")</f>
        <v>101</v>
      </c>
      <c r="G10" s="333">
        <f>IF(ISNUMBER(Datos!I10),Datos!I10," - ")</f>
        <v>101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34</v>
      </c>
      <c r="AC10" s="226">
        <f>IF(ISNUMBER(Datos!Q10),Datos!Q10," - ")</f>
        <v>2</v>
      </c>
      <c r="AD10" s="334"/>
      <c r="AE10" s="484"/>
      <c r="AF10" s="332">
        <f>IF(ISNUMBER(Datos!L10),Datos!L10,"-")</f>
        <v>106</v>
      </c>
      <c r="AG10" s="334"/>
      <c r="AH10" s="334"/>
      <c r="AI10" s="334"/>
      <c r="AJ10" s="334"/>
      <c r="AK10" s="334"/>
      <c r="AL10" s="479"/>
      <c r="AM10" s="335">
        <f>IF(ISNUMBER(Datos!R10),Datos!R10," - ")</f>
        <v>93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16</v>
      </c>
      <c r="BD10" s="229">
        <f>IF(ISNUMBER(Datos!N10),Datos!N10," - ")</f>
        <v>11</v>
      </c>
      <c r="BE10" s="229" t="str">
        <f>IF(ISNUMBER(Datos!BW10),Datos!BW10," - ")</f>
        <v xml:space="preserve"> - </v>
      </c>
      <c r="BF10" s="228" t="str">
        <f>IF(ISNUMBER(Datos!BX10),Datos!BX10," - ")</f>
        <v xml:space="preserve"> - </v>
      </c>
      <c r="BG10" s="243">
        <f>IF(ISNUMBER(Datos!K10/Datos!J10),Datos!K10/Datos!J10," - ")</f>
        <v>0.87179487179487181</v>
      </c>
      <c r="BH10" s="260">
        <f>IF(ISNUMBER(((Datos!L10/Datos!K10)*11)/factor_trimestre),((Datos!L10/Datos!K10)*11)/factor_trimestre," - ")</f>
        <v>9.3529411764705888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9.4117647058823528E-2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6</v>
      </c>
      <c r="F13" s="898">
        <f t="shared" si="0"/>
        <v>101</v>
      </c>
      <c r="G13" s="898">
        <f t="shared" si="0"/>
        <v>101</v>
      </c>
      <c r="H13" s="899">
        <f t="shared" si="0"/>
        <v>0</v>
      </c>
      <c r="I13" s="898">
        <f t="shared" si="0"/>
        <v>0</v>
      </c>
      <c r="J13" s="867">
        <f t="shared" si="0"/>
        <v>0</v>
      </c>
      <c r="K13" s="867">
        <f t="shared" si="0"/>
        <v>0</v>
      </c>
      <c r="L13" s="899">
        <f t="shared" si="0"/>
        <v>0</v>
      </c>
      <c r="M13" s="899">
        <f t="shared" si="0"/>
        <v>0</v>
      </c>
      <c r="N13" s="899">
        <f t="shared" si="0"/>
        <v>105</v>
      </c>
      <c r="O13" s="900">
        <f t="shared" si="0"/>
        <v>0</v>
      </c>
      <c r="P13" s="900">
        <f t="shared" si="0"/>
        <v>0</v>
      </c>
      <c r="Q13" s="899">
        <f t="shared" si="0"/>
        <v>508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34</v>
      </c>
      <c r="AC13" s="899">
        <f t="shared" si="1"/>
        <v>322</v>
      </c>
      <c r="AD13" s="899">
        <f t="shared" si="1"/>
        <v>0</v>
      </c>
      <c r="AE13" s="899">
        <f t="shared" si="1"/>
        <v>0</v>
      </c>
      <c r="AF13" s="899">
        <f t="shared" si="1"/>
        <v>106</v>
      </c>
      <c r="AG13" s="899">
        <f t="shared" si="1"/>
        <v>0</v>
      </c>
      <c r="AH13" s="899">
        <f t="shared" si="1"/>
        <v>76</v>
      </c>
      <c r="AI13" s="899">
        <f t="shared" si="1"/>
        <v>0</v>
      </c>
      <c r="AJ13" s="899">
        <f t="shared" si="1"/>
        <v>0</v>
      </c>
      <c r="AK13" s="899">
        <f t="shared" si="1"/>
        <v>0</v>
      </c>
      <c r="AL13" s="899">
        <f t="shared" si="1"/>
        <v>0</v>
      </c>
      <c r="AM13" s="899">
        <f t="shared" si="1"/>
        <v>7565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492</v>
      </c>
      <c r="BD13" s="899">
        <f t="shared" si="1"/>
        <v>1143</v>
      </c>
      <c r="BE13" s="899">
        <f t="shared" si="1"/>
        <v>0</v>
      </c>
      <c r="BF13" s="899">
        <f t="shared" si="1"/>
        <v>0</v>
      </c>
      <c r="BG13" s="899">
        <f>IF(ISNUMBER(Datos!K13/Datos!J13),Datos!K13/Datos!J13," - ")</f>
        <v>0.96001568012544103</v>
      </c>
      <c r="BH13" s="903">
        <f>IF(ISNUMBER(((Datos!L13/Datos!K13)*11)/factor_trimestre),((Datos!L13/Datos!K13)*11)/factor_trimestre," - ")</f>
        <v>9.2339730502245825</v>
      </c>
      <c r="BI13" s="899">
        <f>IF(ISNUMBER('Resol  Asuntos'!D13/NºAsuntos!G13),'Resol  Asuntos'!D13/NºAsuntos!G13," - ")</f>
        <v>0.19294117647058823</v>
      </c>
      <c r="BJ13" s="899" t="str">
        <f>IF(ISNUMBER(Datos!CI13/Datos!CJ13),Datos!CI13/Datos!CJ13," - ")</f>
        <v xml:space="preserve"> - </v>
      </c>
      <c r="BK13" s="899">
        <f>SUBTOTAL(9,BK8:BK12)</f>
        <v>0</v>
      </c>
      <c r="BL13" s="899">
        <f>IF(ISNUMBER((I13-AB13+L13)/(F13)),(I13-AB13+L13)/(F13)," - ")</f>
        <v>-0.33663366336633666</v>
      </c>
      <c r="BM13" s="904">
        <f>SUBTOTAL(9,BM9:BM12)</f>
        <v>0.11852126647203987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4</v>
      </c>
      <c r="B15" s="594" t="s">
        <v>396</v>
      </c>
      <c r="C15" s="600" t="str">
        <f>Datos!A15</f>
        <v xml:space="preserve">Jdos. Instrucción                               </v>
      </c>
      <c r="D15" s="601"/>
      <c r="E15" s="1165">
        <f>IF(ISNUMBER(Datos!AQ15),Datos!AQ15," - ")</f>
        <v>4</v>
      </c>
      <c r="F15" s="595">
        <f>IF(ISNUMBER(AF15+AB15-Datos!J15-L15),AF15+AB15-Datos!J15-L15," - ")</f>
        <v>1705</v>
      </c>
      <c r="G15" s="598">
        <f>IF(ISNUMBER(IF(D_I="SI",Datos!I15,Datos!I15+Datos!AC15)),IF(D_I="SI",Datos!I15,Datos!I15+Datos!AC15)," - ")</f>
        <v>1668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101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2940</v>
      </c>
      <c r="AC15" s="226">
        <f>IF(ISNUMBER(Datos!Q15),Datos!Q15," - ")</f>
        <v>111</v>
      </c>
      <c r="AD15" s="334"/>
      <c r="AE15" s="484"/>
      <c r="AF15" s="596">
        <f>IF(ISNUMBER(IF(D_I="SI",Datos!L15,Datos!L15+Datos!AF15)),IF(D_I="SI",Datos!L15,Datos!L15+Datos!AF15)," - ")</f>
        <v>1667</v>
      </c>
      <c r="AG15" s="334"/>
      <c r="AH15" s="334"/>
      <c r="AI15" s="334"/>
      <c r="AJ15" s="334"/>
      <c r="AK15" s="334"/>
      <c r="AL15" s="479"/>
      <c r="AM15" s="335">
        <f>IF(ISNUMBER(Datos!R15),Datos!R15," - ")</f>
        <v>280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297</v>
      </c>
      <c r="BD15" s="229">
        <f>IF(ISNUMBER(Datos!N15),Datos!N15," - ")</f>
        <v>1848</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1.0130944176430048</v>
      </c>
      <c r="BH15" s="260">
        <f>IF(ISNUMBER(((IF(D_I="SI",Datos!L15/Datos!K15,(Datos!L15+Datos!AF15)/(Datos!K15+Datos!AE15)))*11)/factor_trimestre),((IF(D_I="SI",Datos!L15/Datos!K15,(Datos!L15+Datos!AF15)/(Datos!K15+Datos!AE15)))*11)/factor_trimestre," - ")</f>
        <v>1.7010204081632652</v>
      </c>
      <c r="BI15" s="243">
        <f>IF(ISNUMBER('Resol  Asuntos'!D15/NºAsuntos!G15),'Resol  Asuntos'!D15/NºAsuntos!G15," - ")</f>
        <v>0.10102040816326531</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230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288</v>
      </c>
      <c r="AC17" s="226">
        <f>IF(ISNUMBER(Datos!Q17),Datos!Q17," - ")</f>
        <v>0</v>
      </c>
      <c r="AD17" s="334"/>
      <c r="AE17" s="484"/>
      <c r="AF17" s="332">
        <f>IF(ISNUMBER(Datos!L17),Datos!L17,"-")</f>
        <v>224</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18</v>
      </c>
      <c r="BD17" s="229">
        <f>IF(ISNUMBER(Datos!N17),Datos!N17," - ")</f>
        <v>184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1.0212765957446808</v>
      </c>
      <c r="BH17" s="260">
        <f>IF(ISNUMBER(((IF(D_I="SI",Datos!L17/Datos!K17,(Datos!L17+Datos!AF17)/(Datos!K17+Datos!AE17)))*11)/factor_trimestre),((IF(D_I="SI",Datos!L17/Datos!K17,(Datos!L17+Datos!AF17)/(Datos!K17+Datos!AE17)))*11)/factor_trimestre," - ")</f>
        <v>2.3333333333333335</v>
      </c>
      <c r="BI17" s="243">
        <f>IF(ISNUMBER('Resol  Asuntos'!D17/NºAsuntos!G17),'Resol  Asuntos'!D17/NºAsuntos!G17," - ")</f>
        <v>6.25E-2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5</v>
      </c>
      <c r="F18" s="898">
        <f>SUBTOTAL(9,F15:F17)</f>
        <v>1705</v>
      </c>
      <c r="G18" s="898">
        <f>SUBTOTAL(9,G15:G17)</f>
        <v>1898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3228</v>
      </c>
      <c r="AC18" s="899">
        <f t="shared" si="4"/>
        <v>111</v>
      </c>
      <c r="AD18" s="899">
        <f t="shared" si="4"/>
        <v>0</v>
      </c>
      <c r="AE18" s="899">
        <f t="shared" si="4"/>
        <v>0</v>
      </c>
      <c r="AF18" s="899">
        <f t="shared" si="4"/>
        <v>1891</v>
      </c>
      <c r="AG18" s="899">
        <f t="shared" si="4"/>
        <v>0</v>
      </c>
      <c r="AH18" s="899">
        <f t="shared" si="4"/>
        <v>0</v>
      </c>
      <c r="AI18" s="899">
        <f t="shared" si="4"/>
        <v>0</v>
      </c>
      <c r="AJ18" s="899">
        <f t="shared" si="4"/>
        <v>0</v>
      </c>
      <c r="AK18" s="899">
        <f t="shared" si="4"/>
        <v>0</v>
      </c>
      <c r="AL18" s="899">
        <f t="shared" si="4"/>
        <v>0</v>
      </c>
      <c r="AM18" s="899">
        <f t="shared" si="4"/>
        <v>287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315</v>
      </c>
      <c r="BD18" s="899">
        <f t="shared" si="4"/>
        <v>2032</v>
      </c>
      <c r="BE18" s="899">
        <f t="shared" si="4"/>
        <v>0</v>
      </c>
      <c r="BF18" s="899">
        <f t="shared" si="4"/>
        <v>0</v>
      </c>
      <c r="BG18" s="899">
        <f>IF(ISNUMBER(Datos!K18/Datos!J18),Datos!K18/Datos!J18," - ")</f>
        <v>1.0138190954773869</v>
      </c>
      <c r="BH18" s="903">
        <f>IF(ISNUMBER(((Datos!L18/Datos!K18)*11)/factor_trimestre),((Datos!L18/Datos!K18)*11)/factor_trimestre," - ")</f>
        <v>1.7574349442379182</v>
      </c>
      <c r="BI18" s="899">
        <f>SUBTOTAL(9,BI15:BI17)</f>
        <v>0.1635204081632653</v>
      </c>
      <c r="BJ18" s="899">
        <f>SUBTOTAL(9,BJ15:BJ17)</f>
        <v>0</v>
      </c>
      <c r="BK18" s="899">
        <f>SUBTOTAL(9,BK15:BK17)</f>
        <v>0</v>
      </c>
      <c r="BL18" s="899">
        <f>IF(ISNUMBER((I18-AB18+L18)/(F18)),(I18-AB18+L18)/(F18)," - ")</f>
        <v>-1.8932551319648094</v>
      </c>
      <c r="BM18" s="905">
        <f>IF(ISNUMBER((Datos!P18-Datos!Q18)/(Datos!R18-Datos!P18+Datos!Q18)),(Datos!P18-Datos!Q18)/(Datos!R18-Datos!P18+Datos!Q18)," - ")</f>
        <v>-2.7118644067796609E-2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11</v>
      </c>
      <c r="F19" s="820">
        <f t="shared" si="6"/>
        <v>1806</v>
      </c>
      <c r="G19" s="820">
        <f t="shared" si="6"/>
        <v>1999</v>
      </c>
      <c r="H19" s="822">
        <f t="shared" si="6"/>
        <v>0</v>
      </c>
      <c r="I19" s="820">
        <f t="shared" si="6"/>
        <v>0</v>
      </c>
      <c r="J19" s="822">
        <f t="shared" si="6"/>
        <v>0</v>
      </c>
      <c r="K19" s="822">
        <f t="shared" si="6"/>
        <v>0</v>
      </c>
      <c r="L19" s="881">
        <f t="shared" si="6"/>
        <v>0</v>
      </c>
      <c r="M19" s="881">
        <f t="shared" si="6"/>
        <v>0</v>
      </c>
      <c r="N19" s="881">
        <f t="shared" si="6"/>
        <v>105</v>
      </c>
      <c r="O19" s="881">
        <f t="shared" si="6"/>
        <v>0</v>
      </c>
      <c r="P19" s="881">
        <f t="shared" si="6"/>
        <v>0</v>
      </c>
      <c r="Q19" s="822">
        <f t="shared" si="6"/>
        <v>611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3262</v>
      </c>
      <c r="AC19" s="821">
        <f t="shared" si="7"/>
        <v>433</v>
      </c>
      <c r="AD19" s="821">
        <f t="shared" si="7"/>
        <v>0</v>
      </c>
      <c r="AE19" s="821">
        <f t="shared" si="7"/>
        <v>0</v>
      </c>
      <c r="AF19" s="828">
        <f t="shared" si="7"/>
        <v>1997</v>
      </c>
      <c r="AG19" s="828">
        <f t="shared" si="7"/>
        <v>0</v>
      </c>
      <c r="AH19" s="828">
        <f t="shared" si="7"/>
        <v>76</v>
      </c>
      <c r="AI19" s="828">
        <f t="shared" si="7"/>
        <v>0</v>
      </c>
      <c r="AJ19" s="821">
        <f t="shared" si="7"/>
        <v>0</v>
      </c>
      <c r="AK19" s="828">
        <f t="shared" si="7"/>
        <v>0</v>
      </c>
      <c r="AL19" s="828">
        <f t="shared" si="7"/>
        <v>0</v>
      </c>
      <c r="AM19" s="828">
        <f t="shared" si="7"/>
        <v>7852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807</v>
      </c>
      <c r="BD19" s="820">
        <f t="shared" si="7"/>
        <v>3175</v>
      </c>
      <c r="BE19" s="820">
        <f t="shared" si="7"/>
        <v>0</v>
      </c>
      <c r="BF19" s="830">
        <f t="shared" si="7"/>
        <v>0</v>
      </c>
      <c r="BG19" s="915">
        <f>IF(ISNUMBER(Datos!K19/Datos!J19),Datos!K19/Datos!J19," - ")</f>
        <v>0.9898866608544028</v>
      </c>
      <c r="BH19" s="915">
        <f>IF(ISNUMBER(((Datos!L19/Datos!K19)*11)/factor_trimestre),((Datos!L19/Datos!K19)*11)/factor_trimestre," - ")</f>
        <v>4.9827373612823678</v>
      </c>
      <c r="BI19" s="813">
        <f>IF(ISNUMBER(Datos!J19/Datos!I19),Datos!J19/Datos!I19," - ")</f>
        <v>0.61422298382778195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-1.806201550387597</v>
      </c>
      <c r="BM19" s="889">
        <f>IF(ISNUMBER((Datos!P19-Datos!Q19+R19)/(Datos!R19-Datos!P19+Datos!Q19-R19)),(Datos!P19-Datos!Q19+R19)/(Datos!R19-Datos!P19+Datos!Q19-R19)," - ")</f>
        <v>2.3195204586916863E-2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799.6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2.5055493963954847</v>
      </c>
      <c r="F21" s="551">
        <f>IF(ISNUMBER(STDEV(F8:F18)),STDEV(F8:F18),"-")</f>
        <v>926.0698317801598</v>
      </c>
      <c r="G21" s="552">
        <f>IF(ISNUMBER(STDEV(G8:G18)),STDEV(G8:G18),"-")</f>
        <v>902.92984223581846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1630.668942489554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210.94454247503063</v>
      </c>
      <c r="BD21" s="551"/>
      <c r="BE21" s="551">
        <f>IF(ISNUMBER(STDEV(BE8:BE18)),STDEV(BE8:BE18),"-")</f>
        <v>0</v>
      </c>
      <c r="BF21" s="556">
        <f>IF(ISNUMBER(STDEV(BF8:BF18)),STDEV(BF8:BF18),"-")</f>
        <v>0</v>
      </c>
      <c r="BG21" s="775">
        <f>IF(ISNUMBER(STDEV(BG8:BG18)),STDEV(BG8:BG18),"-")</f>
        <v>5.6829469644696685E-2</v>
      </c>
      <c r="BH21" s="776">
        <f>IF(ISNUMBER(STDEV(BH8:BH18)),STDEV(BH8:BH18),"-")</f>
        <v>3.9788108226035352</v>
      </c>
      <c r="BI21" s="249">
        <f>IF(ISNUMBER(STDEV(BI8:BI18)),STDEV(BI8:BI18),"-")</f>
        <v>5.9108025740707885E-2</v>
      </c>
      <c r="BJ21" s="230" t="str">
        <f>IF(ISNUMBER(BL21/BM21),BL21/BM21," - ")</f>
        <v xml:space="preserve"> - </v>
      </c>
      <c r="BK21" s="575"/>
      <c r="BL21" s="559">
        <f>IF(ISNUMBER(STDEV(BL8:BL18)),STDEV(BL8:BL18),"-")</f>
        <v>1.1006975961865426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wyvSsJMNF9+/CUmxYagSlgOvAP+nRTQ9zW2H6MvOyicLQYW13f0G1TkcOc9BmsU47uN2uLE4ULIGnjUpe0YQFQ==" saltValue="3FwAEWhUKDzNz+aBPoyQJ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MALAGA  Resumenes por Partidos Judiciales  FUENGIROLA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498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320</v>
      </c>
      <c r="AA9" s="332" t="str">
        <f>IF(ISNUMBER(IF(J_V="SI",Datos!L9,Datos!L9+Datos!AB9)-IF(Monitorios="SI",Datos!CD9,0)),
                          IF(J_V="SI",Datos!L9,Datos!L9+Datos!AB9)-IF(Monitorios="SI",Datos!CD9,0),
                          " - ")</f>
        <v xml:space="preserve"> - </v>
      </c>
      <c r="AB9" s="334"/>
      <c r="AC9" s="334"/>
      <c r="AD9" s="484"/>
      <c r="AE9" s="484">
        <f>IF(ISNUMBER(Datos!R9),Datos!R9," - ")</f>
        <v>7472</v>
      </c>
      <c r="AF9" s="229" t="str">
        <f>IF(ISNUMBER(Datos!BV9),Datos!BV9," - ")</f>
        <v xml:space="preserve"> - </v>
      </c>
      <c r="AG9" s="225" t="str">
        <f>IF(ISNUMBER(Datos!DV9),Datos!DV9," - ")</f>
        <v xml:space="preserve"> - </v>
      </c>
      <c r="AH9" s="298"/>
      <c r="AI9" s="227"/>
      <c r="AJ9" s="225">
        <f>IF(ISNUMBER(Datos!M9),Datos!M9," - ")</f>
        <v>476</v>
      </c>
      <c r="AK9" s="229">
        <f>IF(ISNUMBER(Datos!N9),Datos!N9," - ")</f>
        <v>1132</v>
      </c>
      <c r="AL9" s="229" t="str">
        <f>IF(ISNUMBER(Datos!BW9),Datos!BW9," - ")</f>
        <v xml:space="preserve"> - </v>
      </c>
      <c r="AM9" s="228" t="str">
        <f>IF(ISNUMBER(Datos!BX9),Datos!BX9," - ")</f>
        <v xml:space="preserve"> - </v>
      </c>
      <c r="AN9" s="243"/>
      <c r="AO9" s="260">
        <f>IF(ISNUMBER(((NºAsuntos!I9/NºAsuntos!G9)*11)/factor_trimestre),((NºAsuntos!I9/NºAsuntos!G9)*11)/factor_trimestre," - ")</f>
        <v>8.9523052464228936</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2.4403619413216341E-2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1</v>
      </c>
      <c r="F10" s="225">
        <f>IF(ISNUMBER(Datos!L10+Datos!K10-Datos!J10),Datos!L10+Datos!K10-Datos!J10," - ")</f>
        <v>101</v>
      </c>
      <c r="G10" s="225">
        <f>IF(ISNUMBER(Datos!I10),Datos!I10," - ")</f>
        <v>101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34</v>
      </c>
      <c r="Z10" s="619">
        <f>IF(ISNUMBER(Datos!Q10),Datos!Q10," - ")</f>
        <v>2</v>
      </c>
      <c r="AA10" s="332">
        <f>IF(ISNUMBER(Datos!L10),Datos!L10,"-")</f>
        <v>106</v>
      </c>
      <c r="AB10" s="334"/>
      <c r="AC10" s="334"/>
      <c r="AD10" s="484"/>
      <c r="AE10" s="484">
        <f>IF(ISNUMBER(Datos!R10),Datos!R10," - ")</f>
        <v>93</v>
      </c>
      <c r="AF10" s="229" t="str">
        <f>IF(ISNUMBER(Datos!BV10),Datos!BV10," - ")</f>
        <v xml:space="preserve"> - </v>
      </c>
      <c r="AG10" s="225" t="str">
        <f>IF(ISNUMBER(Datos!DV10),Datos!DV10," - ")</f>
        <v xml:space="preserve"> - </v>
      </c>
      <c r="AH10" s="298"/>
      <c r="AI10" s="227"/>
      <c r="AJ10" s="225">
        <f>IF(ISNUMBER(Datos!M10),Datos!M10," - ")</f>
        <v>16</v>
      </c>
      <c r="AK10" s="229">
        <f>IF(ISNUMBER(Datos!N10),Datos!N10," - ")</f>
        <v>11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9.3529411764705888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9.4117647058823528E-2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IF(ISNUMBER((J12-Y12+K12)/(F12)),(J12-Y12+K12)/(F12),"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6</v>
      </c>
      <c r="F13" s="898">
        <f>SUBTOTAL(9,F8:F12)</f>
        <v>101</v>
      </c>
      <c r="G13" s="898">
        <f>SUBTOTAL(9,G8:G12)</f>
        <v>101</v>
      </c>
      <c r="H13" s="908"/>
      <c r="I13" s="898">
        <f t="shared" ref="I13:N13" si="0">SUBTOTAL(9,I8:I12)</f>
        <v>0</v>
      </c>
      <c r="J13" s="867">
        <f t="shared" si="0"/>
        <v>0</v>
      </c>
      <c r="K13" s="908">
        <f t="shared" si="0"/>
        <v>0</v>
      </c>
      <c r="L13" s="908">
        <f t="shared" si="0"/>
        <v>0</v>
      </c>
      <c r="M13" s="908">
        <f t="shared" si="0"/>
        <v>0</v>
      </c>
      <c r="N13" s="908">
        <f t="shared" si="0"/>
        <v>508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34</v>
      </c>
      <c r="Z13" s="907">
        <f t="shared" si="2"/>
        <v>322</v>
      </c>
      <c r="AA13" s="900">
        <f t="shared" si="2"/>
        <v>106</v>
      </c>
      <c r="AB13" s="900">
        <f t="shared" si="2"/>
        <v>0</v>
      </c>
      <c r="AC13" s="900">
        <f t="shared" si="2"/>
        <v>0</v>
      </c>
      <c r="AD13" s="900">
        <f t="shared" si="2"/>
        <v>0</v>
      </c>
      <c r="AE13" s="900">
        <f t="shared" si="2"/>
        <v>7565</v>
      </c>
      <c r="AF13" s="908">
        <f t="shared" si="2"/>
        <v>0</v>
      </c>
      <c r="AG13" s="908">
        <f t="shared" si="2"/>
        <v>0</v>
      </c>
      <c r="AH13" s="908">
        <f t="shared" si="2"/>
        <v>0</v>
      </c>
      <c r="AI13" s="908">
        <f t="shared" si="2"/>
        <v>0</v>
      </c>
      <c r="AJ13" s="908">
        <f t="shared" si="2"/>
        <v>492</v>
      </c>
      <c r="AK13" s="908">
        <f t="shared" si="2"/>
        <v>1143</v>
      </c>
      <c r="AL13" s="908">
        <f t="shared" si="2"/>
        <v>0</v>
      </c>
      <c r="AM13" s="908">
        <f t="shared" si="2"/>
        <v>0</v>
      </c>
      <c r="AN13" s="908">
        <f t="shared" si="2"/>
        <v>0</v>
      </c>
      <c r="AO13" s="904">
        <f>IF(ISNUMBER(((NºAsuntos!I13/NºAsuntos!G13)*11)/factor_trimestre),((NºAsuntos!I13/NºAsuntos!G13)*11)/factor_trimestre," - ")</f>
        <v>8.9576470588235289</v>
      </c>
      <c r="AP13" s="910" t="str">
        <f>IF(ISNUMBER(Datos!CI13/Datos!CJ13),Datos!CI13/Datos!CJ13," - ")</f>
        <v xml:space="preserve"> - </v>
      </c>
      <c r="AQ13" s="928">
        <f t="shared" ref="AQ13:AV13" si="3">SUBTOTAL(9,AQ9:AQ12)</f>
        <v>0</v>
      </c>
      <c r="AR13" s="928">
        <f t="shared" si="3"/>
        <v>0.11852126647203987</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4</v>
      </c>
      <c r="B15" s="507" t="s">
        <v>396</v>
      </c>
      <c r="C15" s="160" t="str">
        <f>Datos!A15</f>
        <v xml:space="preserve">Jdos. Instrucción                               </v>
      </c>
      <c r="D15" s="502"/>
      <c r="E15" s="1168">
        <f>IF(ISNUMBER(Datos!AQ15),Datos!AQ15," - ")</f>
        <v>4</v>
      </c>
      <c r="F15" s="333">
        <f>IF(ISNUMBER(AA15+Y15-Datos!J15-K15),AA15+Y15-Datos!J15-K15," - ")</f>
        <v>1705</v>
      </c>
      <c r="G15" s="225">
        <f>IF(ISNUMBER(IF(D_I="SI",Datos!I15,Datos!I15+Datos!AC15)),IF(D_I="SI",Datos!I15,Datos!I15+Datos!AC15)," - ")</f>
        <v>1668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101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2940</v>
      </c>
      <c r="Z15" s="619">
        <f>IF(ISNUMBER(Datos!Q15),Datos!Q15," - ")</f>
        <v>111</v>
      </c>
      <c r="AA15" s="332">
        <f>IF(ISNUMBER(IF(D_I="SI",Datos!L15,Datos!L15+Datos!AF15)),IF(D_I="SI",Datos!L15,Datos!L15+Datos!AF15)," - ")</f>
        <v>1667</v>
      </c>
      <c r="AB15" s="334"/>
      <c r="AC15" s="334"/>
      <c r="AD15" s="484"/>
      <c r="AE15" s="484">
        <f>IF(ISNUMBER(Datos!R15),Datos!R15," - ")</f>
        <v>280</v>
      </c>
      <c r="AF15" s="229" t="str">
        <f>IF(ISNUMBER(Datos!BV15),Datos!BV15," - ")</f>
        <v xml:space="preserve"> - </v>
      </c>
      <c r="AG15" s="225"/>
      <c r="AH15" s="298"/>
      <c r="AI15" s="227"/>
      <c r="AJ15" s="225">
        <f>IF(ISNUMBER(Datos!M15),Datos!M15," - ")</f>
        <v>297</v>
      </c>
      <c r="AK15" s="229">
        <f>IF(ISNUMBER(Datos!N15),Datos!N15," - ")</f>
        <v>1848</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1.7010204081632652</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230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288</v>
      </c>
      <c r="Z17" s="619">
        <f>IF(ISNUMBER(Datos!Q17),Datos!Q17," - ")</f>
        <v>0</v>
      </c>
      <c r="AA17" s="332">
        <f>IF(ISNUMBER(Datos!L17),Datos!L17,"-")</f>
        <v>224</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18</v>
      </c>
      <c r="AK17" s="229">
        <f>IF(ISNUMBER(Datos!N17),Datos!N17," - ")</f>
        <v>184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2.3333333333333335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5</v>
      </c>
      <c r="F18" s="898">
        <f>SUBTOTAL(9,F15:F17)</f>
        <v>1705</v>
      </c>
      <c r="G18" s="898">
        <f>SUBTOTAL(9,G15:G17)</f>
        <v>1898</v>
      </c>
      <c r="H18" s="932">
        <f>SUBTOTAL(9,H15:H17)</f>
        <v>0</v>
      </c>
      <c r="I18" s="911">
        <f>SUBTOTAL(9,I15:I17)</f>
        <v>0</v>
      </c>
      <c r="J18" s="867">
        <f>SUBTOTAL(9,J14:J17)</f>
        <v>0</v>
      </c>
      <c r="K18" s="932">
        <f t="shared" ref="K18:S18" si="4">SUBTOTAL(9,K15:K17)</f>
        <v>0</v>
      </c>
      <c r="L18" s="932">
        <f t="shared" si="4"/>
        <v>0</v>
      </c>
      <c r="M18" s="932">
        <f t="shared" si="4"/>
        <v>0</v>
      </c>
      <c r="N18" s="932">
        <f t="shared" si="4"/>
        <v>103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3228</v>
      </c>
      <c r="Z18" s="932">
        <f t="shared" si="5"/>
        <v>111</v>
      </c>
      <c r="AA18" s="932">
        <f t="shared" si="5"/>
        <v>1891</v>
      </c>
      <c r="AB18" s="932">
        <f t="shared" si="5"/>
        <v>0</v>
      </c>
      <c r="AC18" s="932">
        <f t="shared" si="5"/>
        <v>0</v>
      </c>
      <c r="AD18" s="932">
        <f t="shared" si="5"/>
        <v>0</v>
      </c>
      <c r="AE18" s="932">
        <f t="shared" si="5"/>
        <v>287</v>
      </c>
      <c r="AF18" s="932">
        <f t="shared" si="5"/>
        <v>0</v>
      </c>
      <c r="AG18" s="932">
        <f t="shared" si="5"/>
        <v>0</v>
      </c>
      <c r="AH18" s="932">
        <f t="shared" si="5"/>
        <v>0</v>
      </c>
      <c r="AI18" s="932">
        <f t="shared" si="5"/>
        <v>0</v>
      </c>
      <c r="AJ18" s="932">
        <f t="shared" si="5"/>
        <v>315</v>
      </c>
      <c r="AK18" s="932">
        <f t="shared" si="5"/>
        <v>2032</v>
      </c>
      <c r="AL18" s="932">
        <f t="shared" si="5"/>
        <v>0</v>
      </c>
      <c r="AM18" s="932">
        <f t="shared" si="5"/>
        <v>0</v>
      </c>
      <c r="AN18" s="932">
        <f t="shared" si="5"/>
        <v>0</v>
      </c>
      <c r="AO18" s="934">
        <f>IF(ISNUMBER(((NºAsuntos!I18/NºAsuntos!G18)*11)/factor_trimestre),((NºAsuntos!I18/NºAsuntos!G18)*11)/factor_trimestre," - ")</f>
        <v>1.7574349442379182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11</v>
      </c>
      <c r="F19" s="820">
        <f t="shared" si="7"/>
        <v>1806</v>
      </c>
      <c r="G19" s="820">
        <f t="shared" si="7"/>
        <v>1999</v>
      </c>
      <c r="H19" s="821">
        <f t="shared" si="7"/>
        <v>0</v>
      </c>
      <c r="I19" s="820">
        <f t="shared" si="7"/>
        <v>0</v>
      </c>
      <c r="J19" s="822">
        <f t="shared" si="7"/>
        <v>0</v>
      </c>
      <c r="K19" s="820">
        <f t="shared" si="7"/>
        <v>0</v>
      </c>
      <c r="L19" s="823">
        <f t="shared" si="7"/>
        <v>0</v>
      </c>
      <c r="M19" s="820">
        <f t="shared" si="7"/>
        <v>0</v>
      </c>
      <c r="N19" s="821">
        <f t="shared" si="7"/>
        <v>611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3262</v>
      </c>
      <c r="Z19" s="827">
        <f t="shared" si="8"/>
        <v>433</v>
      </c>
      <c r="AA19" s="828">
        <f t="shared" si="8"/>
        <v>1997</v>
      </c>
      <c r="AB19" s="828">
        <f t="shared" si="8"/>
        <v>0</v>
      </c>
      <c r="AC19" s="828">
        <f t="shared" si="8"/>
        <v>0</v>
      </c>
      <c r="AD19" s="829">
        <f t="shared" si="8"/>
        <v>0</v>
      </c>
      <c r="AE19" s="829">
        <f t="shared" si="8"/>
        <v>7852</v>
      </c>
      <c r="AF19" s="830">
        <f t="shared" si="8"/>
        <v>0</v>
      </c>
      <c r="AG19" s="831">
        <f t="shared" si="8"/>
        <v>0</v>
      </c>
      <c r="AH19" s="832">
        <f t="shared" si="8"/>
        <v>0</v>
      </c>
      <c r="AI19" s="830">
        <f t="shared" si="8"/>
        <v>0</v>
      </c>
      <c r="AJ19" s="820">
        <f t="shared" si="8"/>
        <v>807</v>
      </c>
      <c r="AK19" s="820">
        <f t="shared" si="8"/>
        <v>3175</v>
      </c>
      <c r="AL19" s="820">
        <f t="shared" si="8"/>
        <v>0</v>
      </c>
      <c r="AM19" s="833">
        <f t="shared" si="8"/>
        <v>0</v>
      </c>
      <c r="AN19" s="823">
        <f>IF(ISNUMBER(Datos!K19/Datos!J19),Datos!K19/Datos!J19," - ")</f>
        <v>0.9898866608544028</v>
      </c>
      <c r="AO19" s="823">
        <f>IF(ISNUMBER(FIND("06",Criterios!A8,1)),(IF(ISNUMBER(((Datos!R19/Datos!Q19)*11)/factor_trimestre),((Datos!R19/Datos!Q19)*11)/factor_trimestre," - ")),(IF(ISNUMBER(((Datos!L19/Datos!K19)*11)/factor_trimestre),((Datos!L19/Datos!K19)*11)/factor_trimestre," - ")))</f>
        <v>4.9827373612823678</v>
      </c>
      <c r="AP19" s="834" t="str">
        <f>IF(ISNUMBER(Datos!CI19/Datos!CJ19),Datos!CI19/Datos!CJ19," - ")</f>
        <v xml:space="preserve"> - </v>
      </c>
      <c r="AQ19" s="834">
        <f>IF(OR(ISNUMBER(FIND("01",Criterios!A8,1)),ISNUMBER(FIND("02",Criterios!A8,1)),ISNUMBER(FIND("03",Criterios!A8,1)),ISNUMBER(FIND("04",Criterios!A8,1))),(J19-Y19+K19)/(F19-K19),(I19-Y19+K19)/(F19-K19))</f>
        <v>-1.806201550387597</v>
      </c>
      <c r="AR19" s="834">
        <f>IF(ISNUMBER((Datos!P19-Datos!Q19+O19)/(Datos!R19-Datos!P19+Datos!Q19-O19)),(Datos!P19-Datos!Q19+O19)/(Datos!R19-Datos!P19+Datos!Q19-O19)," - ")</f>
        <v>2.3195204586916863E-2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799.6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926.0698317801598</v>
      </c>
      <c r="G21" s="552">
        <f>IF(ISNUMBER(STDEV(G8:G18)),STDEV(G8:G18),"-")</f>
        <v>902.92984223581846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210.94454247503063</v>
      </c>
      <c r="AK21" s="252"/>
      <c r="AL21" s="252">
        <f>IF(ISNUMBER(STDEV(AL8:AL18)),STDEV(AL8:AL18),"-")</f>
        <v>0</v>
      </c>
      <c r="AM21" s="254">
        <f>IF(ISNUMBER(STDEV(AM8:AM18)),STDEV(AM8:AM18),"-")</f>
        <v>0</v>
      </c>
      <c r="AN21" s="539">
        <f>IF(ISNUMBER(STDEV(AN8:AN18)),STDEV(AN8:AN18),"-")</f>
        <v>0</v>
      </c>
      <c r="AO21" s="540">
        <f>IF(ISNUMBER(STDEV(AO8:AO18)),STDEV(AO8:AO18),"-")</f>
        <v>3.9290001008964333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7NgFp0qGvsDZSk0nso2hyefzXqPpWrKKCV8+jlGiE2FB7aQdwtGd15MRIBDUmx9TfwD3v5lnQK5+o7wNsXy0Lg==" saltValue="qOUwDp+IR4I7Ijq0jvVAB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kw14FrCvlhas8JfqcWldNNhaWT9b245uFeUkL20YqkvkvNnMSkOiBGmlNNss0w5DUGUbk90yNIk5d+TBQjdeNg==" saltValue="8w6mA7m0BqRGiLmMvjpZr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MALAGA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QdSxir/j04DK7uIw2Ni/GPf8omTWuML52Zd9XtzVa/Bz9EyspHMzSkWprLw8r0Z4svf7YfXbCFo46BT+HhxAew==" saltValue="/6H7owA/3CbHDun4cvGdhA=="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MALAGA  Resumenes por Partidos Judiciales  FUENGIROLA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0.19294117647058823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0.13643001425246329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qaVLe6haQTUaQx5WzJ1jki0p0dtuyxCTYeJrML3pP46zCr+vE0ElURRIo/GTc9uTnCOvohpOhFbiJKVgK7QaKg==" saltValue="nHcnLRiopM7JR26f89/ht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7JbRXFjQFq3HNDf7Hq9KRBb2TW6nwwMqSG8Vwwc2LulNGLhxGqvIUB9qo7/slEC/PPbEvgrWgwiWf7ft9meHAg==" saltValue="b51wRSpyCxHd13GCd+r1o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MALAGA</v>
      </c>
      <c r="D3" s="375"/>
      <c r="E3" s="375"/>
      <c r="F3" s="375"/>
    </row>
    <row r="4" spans="1:14" ht="13.5" thickBot="1">
      <c r="A4" s="375"/>
      <c r="B4" s="391" t="str">
        <f>Criterios!A11 &amp;"  "&amp;Criterios!B11</f>
        <v>Resumenes por Partidos Judiciales  FUENGIROLA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5</v>
      </c>
      <c r="C9" s="403">
        <f>IF(ISNUMBER(IF(J_V="SI",Datos!I9,Datos!I9+Datos!Y9)),IF(J_V="SI",Datos!I9,Datos!I9+Datos!Y9)," - ")</f>
        <v>7410</v>
      </c>
      <c r="D9" s="404">
        <f>IF(ISNUMBER(C9/Datos!BH9),C9/Datos!BH9," - ")</f>
        <v>1482</v>
      </c>
      <c r="E9" s="403">
        <f>IF(ISNUMBER(IF(J_V="SI",Datos!J9,Datos!J9+Datos!Z9)),IF(J_V="SI",Datos!J9,Datos!J9+Datos!Z9)," - ")</f>
        <v>2617</v>
      </c>
      <c r="F9" s="404">
        <f>IF(ISNUMBER(E9/B9),E9/B9," - ")</f>
        <v>523.4</v>
      </c>
      <c r="G9" s="403">
        <f>IF(ISNUMBER(IF(J_V="SI",Datos!K9,Datos!K9+Datos!AA9)),IF(J_V="SI",Datos!K9,Datos!K9+Datos!AA9)," - ")</f>
        <v>2516</v>
      </c>
      <c r="H9" s="404">
        <f>IF(ISNUMBER(G9/B9),G9/B9," - ")</f>
        <v>503.2</v>
      </c>
      <c r="I9" s="403">
        <f>IF(ISNUMBER(IF(J_V="SI",Datos!L9,Datos!L9+Datos!AB9)),IF(J_V="SI",Datos!L9,Datos!L9+Datos!AB9)," - ")</f>
        <v>7508</v>
      </c>
      <c r="J9" s="404">
        <f>IF(ISNUMBER(I9/B9),I9/B9," - ")</f>
        <v>1501.6</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101</v>
      </c>
      <c r="D10" s="404">
        <f>IF(ISNUMBER(C10/Datos!BH10),C10/Datos!BH10," - ")</f>
        <v>101</v>
      </c>
      <c r="E10" s="403">
        <f>IF(ISNUMBER(Datos!J10),Datos!J10," - ")</f>
        <v>39</v>
      </c>
      <c r="F10" s="404">
        <f>IF(ISNUMBER(E10/B10),E10/B10," - ")</f>
        <v>39</v>
      </c>
      <c r="G10" s="403">
        <f>IF(ISNUMBER(Datos!K10),Datos!K10," - ")</f>
        <v>34</v>
      </c>
      <c r="H10" s="404">
        <f>IF(ISNUMBER(G10/B10),G10/B10," - ")</f>
        <v>34</v>
      </c>
      <c r="I10" s="403">
        <f>IF(ISNUMBER(Datos!L10),Datos!L10," - ")</f>
        <v>106</v>
      </c>
      <c r="J10" s="404">
        <f>IF(ISNUMBER(I10/B10),I10/B10," - ")</f>
        <v>106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6</v>
      </c>
      <c r="C13" s="849">
        <f>SUBTOTAL(9,C8:C12)</f>
        <v>7511</v>
      </c>
      <c r="D13" s="850" t="str">
        <f>IF(ISNUMBER(C13/Datos!BI13),C13/Datos!BI13," - ")</f>
        <v xml:space="preserve"> - </v>
      </c>
      <c r="E13" s="849">
        <f>SUBTOTAL(9,E8:E12)</f>
        <v>2656</v>
      </c>
      <c r="F13" s="850">
        <f>IF(ISNUMBER(E13/B13),E13/B13," - ")</f>
        <v>442.66666666666669</v>
      </c>
      <c r="G13" s="849">
        <f>SUBTOTAL(9,G8:G12)</f>
        <v>2550</v>
      </c>
      <c r="H13" s="850">
        <f>IF(ISNUMBER(G13/B13),G13/B13," - ")</f>
        <v>425</v>
      </c>
      <c r="I13" s="849">
        <f>SUBTOTAL(9,I8:I12)</f>
        <v>7614</v>
      </c>
      <c r="J13" s="850">
        <f>IF(ISNUMBER(I13/B13),I13/B13," - ")</f>
        <v>1269</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4</v>
      </c>
      <c r="C15" s="403">
        <f>IF(ISNUMBER(IF(D_I="SI",Datos!I15,Datos!I15+Datos!AC15)),IF(D_I="SI",Datos!I15,Datos!I15+Datos!AC15)," - ")</f>
        <v>1668</v>
      </c>
      <c r="D15" s="404">
        <f>IF(ISNUMBER(C15/Datos!BH15),C15/Datos!BH15," - ")</f>
        <v>417</v>
      </c>
      <c r="E15" s="403">
        <f>IF(ISNUMBER(IF(D_I="SI",Datos!J15,Datos!J15+Datos!AD15)),IF(D_I="SI",Datos!J15,Datos!J15+Datos!AD15)," - ")</f>
        <v>2902</v>
      </c>
      <c r="F15" s="404">
        <f>IF(ISNUMBER(E15/B15),E15/B15," - ")</f>
        <v>725.5</v>
      </c>
      <c r="G15" s="403">
        <f>IF(ISNUMBER(IF(D_I="SI",Datos!K15,Datos!K15+Datos!AE15)),IF(D_I="SI",Datos!K15,Datos!K15+Datos!AE15)," - ")</f>
        <v>2940</v>
      </c>
      <c r="H15" s="404">
        <f>IF(ISNUMBER(G15/B15),G15/B15," - ")</f>
        <v>735</v>
      </c>
      <c r="I15" s="403">
        <f>IF(ISNUMBER(IF(D_I="SI",Datos!L15,Datos!L15+Datos!AF15)),IF(D_I="SI",Datos!L15,Datos!L15+Datos!AF15)," - ")</f>
        <v>1667</v>
      </c>
      <c r="J15" s="404">
        <f>IF(ISNUMBER(I15/B15),I15/B15," - ")</f>
        <v>416.75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230</v>
      </c>
      <c r="D17" s="404">
        <f>IF(ISNUMBER(C17/Datos!BH17),C17/Datos!BH17," - ")</f>
        <v>230</v>
      </c>
      <c r="E17" s="403">
        <f>IF(ISNUMBER(IF(D_I="SI",Datos!J17,Datos!J17+Datos!AD17)),IF(D_I="SI",Datos!J17,Datos!J17+Datos!AD17)," - ")</f>
        <v>282</v>
      </c>
      <c r="F17" s="404">
        <f>IF(ISNUMBER(E17/B17),E17/B17," - ")</f>
        <v>282</v>
      </c>
      <c r="G17" s="403">
        <f>IF(ISNUMBER(IF(D_I="SI",Datos!K17,Datos!K17+Datos!AE17)),IF(D_I="SI",Datos!K17,Datos!K17+Datos!AE17)," - ")</f>
        <v>288</v>
      </c>
      <c r="H17" s="404">
        <f>IF(ISNUMBER(G17/B17),G17/B17," - ")</f>
        <v>288</v>
      </c>
      <c r="I17" s="403">
        <f>IF(ISNUMBER(IF(D_I="SI",Datos!L17,Datos!L17+Datos!AF17)),IF(D_I="SI",Datos!L17,Datos!L17+Datos!AF17)," - ")</f>
        <v>224</v>
      </c>
      <c r="J17" s="404">
        <f>IF(ISNUMBER(I17/B17),I17/B17," - ")</f>
        <v>224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5</v>
      </c>
      <c r="C18" s="849">
        <f>SUBTOTAL(9,C14:C17)</f>
        <v>1898</v>
      </c>
      <c r="D18" s="850" t="str">
        <f>IF(ISNUMBER(C18/Datos!BI18),C18/Datos!BI18," - ")</f>
        <v xml:space="preserve"> - </v>
      </c>
      <c r="E18" s="849">
        <f>SUBTOTAL(9,E14:E17)</f>
        <v>3184</v>
      </c>
      <c r="F18" s="850">
        <f>IF(ISNUMBER(E18/B18),E18/B18," - ")</f>
        <v>636.79999999999995</v>
      </c>
      <c r="G18" s="849">
        <f>SUBTOTAL(9,G14:G17)</f>
        <v>3228</v>
      </c>
      <c r="H18" s="850">
        <f>IF(ISNUMBER(G18/B18),G18/B18," - ")</f>
        <v>645.6</v>
      </c>
      <c r="I18" s="849">
        <f>SUBTOTAL(9,I14:I17)</f>
        <v>1891</v>
      </c>
      <c r="J18" s="850">
        <f>IF(ISNUMBER(I18/B18),I18/B18," - ")</f>
        <v>378.2</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10</v>
      </c>
      <c r="C19" s="794">
        <f>SUBTOTAL(9,C9:C18)</f>
        <v>9409</v>
      </c>
      <c r="D19" s="795" t="str">
        <f>IF(ISNUMBER(C19/Datos!BI19),C19/Datos!BI19," - ")</f>
        <v xml:space="preserve"> - </v>
      </c>
      <c r="E19" s="794">
        <f>SUBTOTAL(9,E9:E18)</f>
        <v>5840</v>
      </c>
      <c r="F19" s="795">
        <f>IF(ISNUMBER(E19/B19),E19/B19," - ")</f>
        <v>584</v>
      </c>
      <c r="G19" s="794">
        <f>SUBTOTAL(9,G9:G18)</f>
        <v>5778</v>
      </c>
      <c r="H19" s="795">
        <f>IF(ISNUMBER(G19/B19),G19/B19," - ")</f>
        <v>577.79999999999995</v>
      </c>
      <c r="I19" s="794">
        <f>SUBTOTAL(9,I9:I18)</f>
        <v>9505</v>
      </c>
      <c r="J19" s="795">
        <f>IF(ISNUMBER(I19/B19),I19/B19," - ")</f>
        <v>950.5</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7bU7pwanRzjw4f1DBitAvTqrfzIFlYzpdKkql8DSQNF5RJyR0odEqxKIGR87rjYy3djsE7O7qNA5Fw89mvm4Yw==" saltValue="B53f9LfmfdSGKnFhmzTuB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MALAGA  Resumenes por Partidos Judiciales  FUENGIROLA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1</v>
      </c>
      <c r="F10" s="683">
        <f>IF(ISNUMBER(Datos!L10+Datos!K10-Datos!J10),Datos!L10+Datos!K10-Datos!J10," - ")</f>
        <v>101</v>
      </c>
      <c r="G10" s="684">
        <f>IF(ISNUMBER(Datos!I10),Datos!I10," - ")</f>
        <v>101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34</v>
      </c>
      <c r="AC10" s="683" t="str">
        <f>IF(ISNUMBER(IF(D_I="SI",DatosP!K17,DatosP!K17+DatosP!AE17)),IF(D_I="SI",DatosP!K17,DatosP!K17+DatosP!AE17)," - ")</f>
        <v xml:space="preserve"> - </v>
      </c>
      <c r="AD10" s="685"/>
      <c r="AE10" s="685"/>
      <c r="AF10" s="688">
        <f>IF(ISNUMBER(Datos!L10),Datos!L10,"-")</f>
        <v>106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16</v>
      </c>
      <c r="AM10" s="690">
        <f>IF(ISNUMBER(Datos!N10+DatosP!N17),Datos!N10+DatosP!N17," - ")</f>
        <v>11</v>
      </c>
      <c r="AN10" s="690">
        <f>IF(ISNUMBER(Datos!BW10+DatosP!BW17),Datos!BW10+DatosP!BW17," - ")</f>
        <v>0</v>
      </c>
      <c r="AO10" s="691">
        <f>IF(ISNUMBER(Datos!BX10+DatosP!BX17),Datos!BX10+DatosP!BX17," - ")</f>
        <v>0</v>
      </c>
      <c r="AP10" s="693">
        <f>IF(ISNUMBER(((Datos!L10/Datos!K10)*11)/factor_trimestre),((Datos!L10/Datos!K10)*11)/factor_trimestre," - ")</f>
        <v>9.3529411764705888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6</v>
      </c>
      <c r="F13" s="938">
        <f t="shared" si="0"/>
        <v>101</v>
      </c>
      <c r="G13" s="938">
        <f t="shared" si="0"/>
        <v>101</v>
      </c>
      <c r="H13" s="938">
        <f t="shared" si="0"/>
        <v>0</v>
      </c>
      <c r="I13" s="940">
        <f t="shared" si="0"/>
        <v>0</v>
      </c>
      <c r="J13" s="939">
        <f t="shared" si="0"/>
        <v>0</v>
      </c>
      <c r="K13" s="939">
        <f t="shared" si="0"/>
        <v>0</v>
      </c>
      <c r="L13" s="941">
        <f t="shared" si="0"/>
        <v>0</v>
      </c>
      <c r="M13" s="941">
        <f t="shared" si="0"/>
        <v>0</v>
      </c>
      <c r="N13" s="939">
        <f t="shared" si="0"/>
        <v>10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34</v>
      </c>
      <c r="AC13" s="939">
        <f t="shared" si="1"/>
        <v>0</v>
      </c>
      <c r="AD13" s="939">
        <f t="shared" si="1"/>
        <v>0</v>
      </c>
      <c r="AE13" s="939">
        <f t="shared" si="1"/>
        <v>0</v>
      </c>
      <c r="AF13" s="939">
        <f t="shared" si="1"/>
        <v>106</v>
      </c>
      <c r="AG13" s="939">
        <f t="shared" si="1"/>
        <v>0</v>
      </c>
      <c r="AH13" s="939">
        <f t="shared" si="1"/>
        <v>0</v>
      </c>
      <c r="AI13" s="939">
        <f t="shared" si="1"/>
        <v>0</v>
      </c>
      <c r="AJ13" s="939">
        <f t="shared" si="1"/>
        <v>0</v>
      </c>
      <c r="AK13" s="939">
        <f t="shared" si="1"/>
        <v>0</v>
      </c>
      <c r="AL13" s="939">
        <f t="shared" si="1"/>
        <v>16</v>
      </c>
      <c r="AM13" s="939">
        <f t="shared" si="1"/>
        <v>11</v>
      </c>
      <c r="AN13" s="939">
        <f t="shared" si="1"/>
        <v>0</v>
      </c>
      <c r="AO13" s="939">
        <f t="shared" si="1"/>
        <v>0</v>
      </c>
      <c r="AP13" s="944">
        <f>IF(ISNUMBER(((Datos!L13/Datos!K13)*11)/factor_trimestre),((Datos!L13/Datos!K13)*11)/factor_trimestre," - ")</f>
        <v>9.2339730502245825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-0.33663366336633666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1.7574349442379182</v>
      </c>
      <c r="AQ18" s="944">
        <f>IF(ISNUMBER(((Datos!M18/Datos!L18)*11)/factor_trimestre),((Datos!M18/Datos!L18)*11)/factor_trimestre," - ")</f>
        <v>0.49973558963511372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-2.7118644067796609E-2</v>
      </c>
      <c r="AW18" s="946">
        <f>IF(ISNUMBER((Datos!Q18-Datos!R18)/(Datos!S18-Datos!Q18+Datos!R18)),(Datos!Q18-Datos!R18)/(Datos!S18-Datos!Q18+Datos!R18)," - ")</f>
        <v>-8.9068825910931168E-2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6</v>
      </c>
      <c r="F19" s="951">
        <f t="shared" si="4"/>
        <v>101</v>
      </c>
      <c r="G19" s="951">
        <f t="shared" si="4"/>
        <v>101</v>
      </c>
      <c r="H19" s="951">
        <f t="shared" si="4"/>
        <v>0</v>
      </c>
      <c r="I19" s="952">
        <f t="shared" si="4"/>
        <v>0</v>
      </c>
      <c r="J19" s="953">
        <f t="shared" si="4"/>
        <v>0</v>
      </c>
      <c r="K19" s="953">
        <f t="shared" si="4"/>
        <v>0</v>
      </c>
      <c r="L19" s="953">
        <f t="shared" si="4"/>
        <v>0</v>
      </c>
      <c r="M19" s="953">
        <f t="shared" si="4"/>
        <v>0</v>
      </c>
      <c r="N19" s="952">
        <f t="shared" si="4"/>
        <v>10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34</v>
      </c>
      <c r="AC19" s="957">
        <f t="shared" si="5"/>
        <v>0</v>
      </c>
      <c r="AD19" s="957">
        <f t="shared" si="5"/>
        <v>0</v>
      </c>
      <c r="AE19" s="957">
        <f t="shared" si="5"/>
        <v>0</v>
      </c>
      <c r="AF19" s="958">
        <f t="shared" si="5"/>
        <v>106</v>
      </c>
      <c r="AG19" s="958">
        <f t="shared" si="5"/>
        <v>0</v>
      </c>
      <c r="AH19" s="958">
        <f t="shared" si="5"/>
        <v>0</v>
      </c>
      <c r="AI19" s="958">
        <f t="shared" si="5"/>
        <v>0</v>
      </c>
      <c r="AJ19" s="959">
        <f t="shared" si="5"/>
        <v>0</v>
      </c>
      <c r="AK19" s="959">
        <f t="shared" si="5"/>
        <v>0</v>
      </c>
      <c r="AL19" s="951">
        <f t="shared" si="5"/>
        <v>16</v>
      </c>
      <c r="AM19" s="951">
        <f t="shared" si="5"/>
        <v>11</v>
      </c>
      <c r="AN19" s="951">
        <f t="shared" si="5"/>
        <v>0</v>
      </c>
      <c r="AO19" s="951">
        <f t="shared" si="5"/>
        <v>0</v>
      </c>
      <c r="AP19" s="951">
        <f>IF(ISNUMBER(((Datos!L19/Datos!K19)*11)/factor_trimestre),((Datos!L19/Datos!K19)*11)/factor_trimestre," - ")</f>
        <v>4.9827373612823678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-0.33663366336633666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2.3195204586916863E-2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67.333333333333329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2.7568097504180442</v>
      </c>
      <c r="F21" s="736">
        <f>IF(ISNUMBER(STDEV(F8:F18)),STDEV(F8:F18),"-")</f>
        <v>58.312377188152198</v>
      </c>
      <c r="G21" s="737">
        <f>IF(ISNUMBER(STDEV(G8:G18)),STDEV(G8:G18),"-")</f>
        <v>58.312377188152198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19.629909152447276</v>
      </c>
      <c r="AC21" s="738">
        <f>IF(ISNUMBER(STDEV(AC8:AC18)),STDEV(AC8:AC18),"-")</f>
        <v>0</v>
      </c>
      <c r="AD21" s="741"/>
      <c r="AE21" s="741"/>
      <c r="AF21" s="741"/>
      <c r="AG21" s="741"/>
      <c r="AH21" s="741"/>
      <c r="AI21" s="741"/>
      <c r="AJ21" s="742">
        <f>IF(ISNUMBER(STDEV(AJ8:AJ18)),STDEV(AJ8:AJ18),"-")</f>
        <v>0</v>
      </c>
      <c r="AK21" s="744"/>
      <c r="AL21" s="736">
        <f>IF(ISNUMBER(STDEV(AL8:AL18)),STDEV(AL8:AL18),"-")</f>
        <v>9.2376043070340135</v>
      </c>
      <c r="AM21" s="736"/>
      <c r="AN21" s="736">
        <f>IF(ISNUMBER(STDEV(AN8:AN18)),STDEV(AN8:AN18),"-")</f>
        <v>0</v>
      </c>
      <c r="AO21" s="742">
        <f>IF(ISNUMBER(STDEV(AO8:AO18)),STDEV(AO8:AO18),"-")</f>
        <v>0</v>
      </c>
      <c r="AP21" s="779">
        <f>IF(ISNUMBER(STDEV(AP8:AP18)),STDEV(AP8:AP18),"-")</f>
        <v>4.3513310298730907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qKNlA5U1uuYAXAcq4Y0heHYvlbvRfMpPC2zGbEOT2Z7vGIKTsSneMUMwGSl8iWwQCxlbS7cY2FXwA+7PnAdMxA==" saltValue="1wNYraaAM6iOt0lrPgKuO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FUENGIROLA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xp5ywNa46PlhKNWUh0fFgzO8uFLJmCCmkdHZkz2TpC1wXlk1zpVVvuBTAx2eZixpMmU84WvmC+bkbqbqUEUj4Q==" saltValue="zl0sYF9tDaBw9/jx3lYTu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MALAGA</v>
      </c>
      <c r="C3" s="391"/>
      <c r="D3" s="425"/>
    </row>
    <row r="4" spans="1:9" ht="13.5" thickBot="1">
      <c r="B4" s="391" t="str">
        <f>Criterios!A11 &amp;"  "&amp;Criterios!B11</f>
        <v>Resumenes por Partidos Judiciales  FUENGIROLA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5</v>
      </c>
      <c r="C9" s="410">
        <f>Datos!AQ9</f>
        <v>5</v>
      </c>
      <c r="D9" s="403">
        <f>IF(ISNUMBER(Datos!M9),Datos!M9," - ")</f>
        <v>476</v>
      </c>
      <c r="E9" s="404">
        <f t="shared" ref="E9:E13" si="0">IF(ISNUMBER(D9/B9),D9/B9," - ")</f>
        <v>95.2</v>
      </c>
      <c r="F9" s="403">
        <f>IF(ISNUMBER(Datos!N9),Datos!N9," - ")</f>
        <v>1132</v>
      </c>
      <c r="G9" s="404">
        <f t="shared" ref="G9:G13" si="1">IF(ISNUMBER(F9/B9),F9/B9," - ")</f>
        <v>226.4</v>
      </c>
      <c r="H9" s="403">
        <f>IF(ISNUMBER(Datos!O9),Datos!O9," - ")</f>
        <v>940</v>
      </c>
      <c r="I9" s="404">
        <f>IF(ISNUMBER(H9/B9),H9/B9," - ")</f>
        <v>188</v>
      </c>
    </row>
    <row r="10" spans="1:9">
      <c r="A10" s="402" t="str">
        <f>Datos!A10</f>
        <v>Jdos. Violencia contra la mujer</v>
      </c>
      <c r="B10" s="427">
        <f>Datos!AO10</f>
        <v>1</v>
      </c>
      <c r="C10" s="410">
        <f>Datos!AQ10</f>
        <v>1</v>
      </c>
      <c r="D10" s="403">
        <f>IF(ISNUMBER(Datos!M10),Datos!M10," - ")</f>
        <v>16</v>
      </c>
      <c r="E10" s="404">
        <f>IF(ISNUMBER(D10/B10),D10/B10," - ")</f>
        <v>16</v>
      </c>
      <c r="F10" s="403">
        <f>IF(ISNUMBER(Datos!N10),Datos!N10," - ")</f>
        <v>11</v>
      </c>
      <c r="G10" s="404">
        <f>IF(ISNUMBER(F10/B10),F10/B10," - ")</f>
        <v>11</v>
      </c>
      <c r="H10" s="403">
        <f>IF(ISNUMBER(Datos!O10),Datos!O10," - ")</f>
        <v>9</v>
      </c>
      <c r="I10" s="404">
        <f t="shared" ref="I10:I12" si="2">IF(ISNUMBER(H10/B10),H10/B10," - ")</f>
        <v>9</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row>
    <row r="13" spans="1:9" ht="14.25" thickTop="1" thickBot="1">
      <c r="A13" s="848" t="str">
        <f>Datos!A13</f>
        <v>TOTAL</v>
      </c>
      <c r="B13" s="849">
        <f>Datos!AO13</f>
        <v>6</v>
      </c>
      <c r="C13" s="851">
        <f>Datos!AR13</f>
        <v>6</v>
      </c>
      <c r="D13" s="849">
        <f>SUBTOTAL(9,D9:D12)</f>
        <v>492</v>
      </c>
      <c r="E13" s="850">
        <f t="shared" si="0"/>
        <v>82</v>
      </c>
      <c r="F13" s="849">
        <f>SUBTOTAL(9,F9:F12)</f>
        <v>1143</v>
      </c>
      <c r="G13" s="850">
        <f t="shared" si="1"/>
        <v>190.5</v>
      </c>
      <c r="H13" s="849">
        <f>SUBTOTAL(9,H9:H12)</f>
        <v>949</v>
      </c>
      <c r="I13" s="850">
        <f>IF(ISNUMBER(H13/B13),H13/B13," - ")</f>
        <v>158.16666666666666</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4</v>
      </c>
      <c r="C15" s="428">
        <f>Datos!AQ15</f>
        <v>4</v>
      </c>
      <c r="D15" s="403">
        <f>IF(ISNUMBER(Datos!M15),Datos!M15," - ")</f>
        <v>297</v>
      </c>
      <c r="E15" s="404">
        <f t="shared" ref="E15:E18" si="3">IF(ISNUMBER(D15/B15),D15/B15," - ")</f>
        <v>74.25</v>
      </c>
      <c r="F15" s="403">
        <f>IF(ISNUMBER(Datos!N15),Datos!N15," - ")</f>
        <v>1848</v>
      </c>
      <c r="G15" s="404">
        <f t="shared" ref="G15:G18" si="4">IF(ISNUMBER(F15/B15),F15/B15," - ")</f>
        <v>462</v>
      </c>
      <c r="H15" s="403">
        <f>IF(ISNUMBER(Datos!O15),Datos!O15," - ")</f>
        <v>108</v>
      </c>
      <c r="I15" s="404">
        <f t="shared" ref="I15:I17" si="5">IF(ISNUMBER(H15/B15),H15/B15," - ")</f>
        <v>27</v>
      </c>
    </row>
    <row r="16" spans="1:9">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row>
    <row r="17" spans="1:9" ht="13.5" thickBot="1">
      <c r="A17" s="402" t="str">
        <f>Datos!A17</f>
        <v>Jdos. Violencia contra la mujer</v>
      </c>
      <c r="B17" s="427">
        <f>Datos!AO17</f>
        <v>1</v>
      </c>
      <c r="C17" s="428">
        <f>Datos!AQ17</f>
        <v>1</v>
      </c>
      <c r="D17" s="403">
        <f>IF(ISNUMBER(Datos!M17),Datos!M17," - ")</f>
        <v>18</v>
      </c>
      <c r="E17" s="404">
        <f>IF(ISNUMBER(D17/B17),D17/B17," - ")</f>
        <v>18</v>
      </c>
      <c r="F17" s="403">
        <f>IF(ISNUMBER(Datos!N17),Datos!N17," - ")</f>
        <v>184</v>
      </c>
      <c r="G17" s="404">
        <f>IF(ISNUMBER(F17/B17),F17/B17," - ")</f>
        <v>184</v>
      </c>
      <c r="H17" s="403">
        <f>IF(ISNUMBER(Datos!O17),Datos!O17," - ")</f>
        <v>0</v>
      </c>
      <c r="I17" s="404">
        <f t="shared" si="5"/>
        <v>0</v>
      </c>
    </row>
    <row r="18" spans="1:9" ht="14.25" thickTop="1" thickBot="1">
      <c r="A18" s="848" t="str">
        <f>Datos!A18</f>
        <v>TOTAL</v>
      </c>
      <c r="B18" s="849">
        <f>Datos!AO18</f>
        <v>5</v>
      </c>
      <c r="C18" s="851">
        <f>Datos!AR18</f>
        <v>5</v>
      </c>
      <c r="D18" s="849">
        <f>SUBTOTAL(9,D15:D17)</f>
        <v>315</v>
      </c>
      <c r="E18" s="850">
        <f t="shared" si="3"/>
        <v>63</v>
      </c>
      <c r="F18" s="849">
        <f>SUBTOTAL(9,F15:F17)</f>
        <v>2032</v>
      </c>
      <c r="G18" s="850">
        <f t="shared" si="4"/>
        <v>406.4</v>
      </c>
      <c r="H18" s="849">
        <f>SUBTOTAL(9,H15:H17)</f>
        <v>108</v>
      </c>
      <c r="I18" s="850">
        <f>IF(ISNUMBER(H18/B18),H18/B18," - ")</f>
        <v>21.6</v>
      </c>
    </row>
    <row r="19" spans="1:9" ht="14.25" thickTop="1" thickBot="1">
      <c r="A19" s="793" t="str">
        <f>Datos!A19</f>
        <v>TOTAL JURISDICCIONES</v>
      </c>
      <c r="B19" s="794">
        <f>Datos!AP19</f>
        <v>10</v>
      </c>
      <c r="C19" s="794">
        <f>Datos!AR19</f>
        <v>10</v>
      </c>
      <c r="D19" s="794">
        <f>SUBTOTAL(9,D8:D18)</f>
        <v>807</v>
      </c>
      <c r="E19" s="795">
        <f>IF(ISNUMBER(D19/B19),D19/B19," - ")</f>
        <v>80.7</v>
      </c>
      <c r="F19" s="794">
        <f>SUBTOTAL(9,F8:F18)</f>
        <v>3175</v>
      </c>
      <c r="G19" s="795">
        <f>IF(ISNUMBER(F19/B19),F19/B19," - ")</f>
        <v>317.5</v>
      </c>
      <c r="H19" s="794">
        <f>SUBTOTAL(9,H8:H18)</f>
        <v>1057</v>
      </c>
      <c r="I19" s="795">
        <f>IF(ISNUMBER(H19/B19),H19/B19," - ")</f>
        <v>105.7</v>
      </c>
    </row>
    <row r="22" spans="1:9">
      <c r="A22" s="391" t="str">
        <f>Criterios!A4</f>
        <v>Fecha Informe: 29 may. 2024</v>
      </c>
    </row>
    <row r="27" spans="1:9">
      <c r="A27" s="414"/>
    </row>
  </sheetData>
  <sheetProtection algorithmName="SHA-512" hashValue="7enxU1VRIBbTX47yLG+pMNgClyDIv8+XBDIkTu4Q2J1Y1XuaBvnxYpDDQpJAvGZTuuziLZLfzQKJs2Z747JVIA==" saltValue="YmBvJhXB10evYdyb4maQW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FUENGIROLA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f>IF(ISNUMBER(Datos!P9),Datos!P9," - ")</f>
        <v>498</v>
      </c>
      <c r="C9" s="434">
        <f>IF(ISNUMBER(Datos!Q9),Datos!Q9," - ")</f>
        <v>320</v>
      </c>
      <c r="D9" s="408">
        <f>IF(ISNUMBER(Datos!R9),Datos!R9," - ")</f>
        <v>7472</v>
      </c>
    </row>
    <row r="10" spans="1:4">
      <c r="A10" s="402" t="str">
        <f>Datos!A10</f>
        <v>Jdos. Violencia contra la mujer</v>
      </c>
      <c r="B10" s="433">
        <f>IF(ISNUMBER(Datos!P10),Datos!P10," - ")</f>
        <v>10</v>
      </c>
      <c r="C10" s="434">
        <f>IF(ISNUMBER(Datos!Q10),Datos!Q10," - ")</f>
        <v>2</v>
      </c>
      <c r="D10" s="408">
        <f>IF(ISNUMBER(Datos!R10),Datos!R10," - ")</f>
        <v>93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508</v>
      </c>
      <c r="C13" s="853">
        <f>SUBTOTAL(9,C9:C12)</f>
        <v>322</v>
      </c>
      <c r="D13" s="851">
        <f>SUBTOTAL(9,D9:D12)</f>
        <v>7565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101</v>
      </c>
      <c r="C15" s="434">
        <f>IF(ISNUMBER(Datos!Q15),Datos!Q15," - ")</f>
        <v>111</v>
      </c>
      <c r="D15" s="408">
        <f>IF(ISNUMBER(Datos!R15),Datos!R15," - ")</f>
        <v>280</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v>
      </c>
      <c r="C17" s="434">
        <f>IF(ISNUMBER(Datos!Q17),Datos!Q17," - ")</f>
        <v>0</v>
      </c>
      <c r="D17" s="408">
        <f>IF(ISNUMBER(Datos!R17),Datos!R17," - ")</f>
        <v>7</v>
      </c>
    </row>
    <row r="18" spans="1:4" ht="14.25" thickTop="1" thickBot="1">
      <c r="A18" s="848" t="str">
        <f>Datos!A18</f>
        <v>TOTAL</v>
      </c>
      <c r="B18" s="849">
        <f>SUBTOTAL(9,B15:B17)</f>
        <v>103</v>
      </c>
      <c r="C18" s="853">
        <f>SUBTOTAL(9,C15:C17)</f>
        <v>111</v>
      </c>
      <c r="D18" s="851">
        <f>SUBTOTAL(9,D15:D17)</f>
        <v>287</v>
      </c>
    </row>
    <row r="19" spans="1:4" ht="16.5" customHeight="1" thickTop="1" thickBot="1">
      <c r="A19" s="793" t="str">
        <f>Datos!A19</f>
        <v>TOTAL JURISDICCIONES</v>
      </c>
      <c r="B19" s="798">
        <f>SUBTOTAL(9,B8:B18)</f>
        <v>611</v>
      </c>
      <c r="C19" s="799">
        <f>SUBTOTAL(9,C8:C18)</f>
        <v>433</v>
      </c>
      <c r="D19" s="800">
        <f>SUBTOTAL(9,D8:D18)</f>
        <v>7852</v>
      </c>
    </row>
    <row r="20" spans="1:4" ht="7.5" customHeight="1"/>
    <row r="21" spans="1:4" ht="6" customHeight="1"/>
    <row r="22" spans="1:4">
      <c r="A22" s="391" t="str">
        <f>Criterios!A4</f>
        <v>Fecha Informe: 29 may. 2024</v>
      </c>
    </row>
    <row r="27" spans="1:4">
      <c r="A27" s="414"/>
    </row>
  </sheetData>
  <sheetProtection algorithmName="SHA-512" hashValue="9SyoV90g2PkHKOHErQ2rTno06RvF1TNpAIukiAdTH5kHjNAk6KNREyTmcsPMl86aF7VrFgpzEQQ/lMhHY4eXPA==" saltValue="Bs3g0eeOnUL8zo9PyX/jJ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FUENGIROLA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0.32274187790074971</v>
      </c>
      <c r="C9" s="456">
        <f>IF(ISNUMBER(
   IF(J_V="SI",(Datos!J9-Datos!T9)/Datos!T9,(Datos!J9+Datos!Z9-(Datos!T9+Datos!AH9))/(Datos!T9+Datos!AH9))
     ),IF(J_V="SI",(Datos!J9-Datos!T9)/Datos!T9,(Datos!J9+Datos!Z9-(Datos!T9+Datos!AH9))/(Datos!T9+Datos!AH9))," - ")</f>
        <v>0.11172472387425658</v>
      </c>
      <c r="D9" s="456">
        <f>IF(ISNUMBER(
   IF(J_V="SI",(Datos!K9-Datos!U9)/Datos!U9,(Datos!K9+Datos!AA9-(Datos!U9+Datos!AI9))/(Datos!U9+Datos!AI9))
     ),IF(J_V="SI",(Datos!K9-Datos!U9)/Datos!U9,(Datos!K9+Datos!AA9-(Datos!U9+Datos!AI9))/(Datos!U9+Datos!AI9))," - ")</f>
        <v>0.29557157569515963</v>
      </c>
      <c r="E9" s="456">
        <f>IF(ISNUMBER(
   IF(J_V="SI",(Datos!L9-Datos!V9)/Datos!V9,(Datos!L9+Datos!AB9-(Datos!V9+Datos!AJ9))/(Datos!V9+Datos!AJ9))
     ),IF(J_V="SI",(Datos!L9-Datos!V9)/Datos!V9,(Datos!L9+Datos!AB9-(Datos!V9+Datos!AJ9))/(Datos!V9+Datos!AJ9))," - ")</f>
        <v>0.2484203525108081</v>
      </c>
      <c r="F9" s="456">
        <f>IF(ISNUMBER((Datos!M9-Datos!W9)/Datos!W9),(Datos!M9-Datos!W9)/Datos!W9," - ")</f>
        <v>0.19899244332493704</v>
      </c>
      <c r="G9" s="457">
        <f>IF(ISNUMBER((Datos!N9-Datos!X9)/Datos!X9),(Datos!N9-Datos!X9)/Datos!X9," - ")</f>
        <v>0.24395604395604395</v>
      </c>
      <c r="H9" s="455">
        <f>IF(ISNUMBER(((NºAsuntos!G9/NºAsuntos!E9)-Datos!BD9)/Datos!BD9),((NºAsuntos!G9/NºAsuntos!E9)-Datos!BD9)/Datos!BD9," - ")</f>
        <v>0.16537084034635302</v>
      </c>
      <c r="I9" s="456">
        <f>IF(ISNUMBER(((NºAsuntos!I9/NºAsuntos!G9)-Datos!BE9)/Datos!BE9),((NºAsuntos!I9/NºAsuntos!G9)-Datos!BE9)/Datos!BE9," - ")</f>
        <v>-3.6394147624805397E-2</v>
      </c>
      <c r="J9" s="461">
        <f>IF(ISNUMBER((('Resol  Asuntos'!D9/NºAsuntos!G9)-Datos!BF9)/Datos!BF9),(('Resol  Asuntos'!D9/NºAsuntos!G9)-Datos!BF9)/Datos!BF9," - ")</f>
        <v>-0.59625779625779618</v>
      </c>
      <c r="K9" s="462">
        <f>IF(ISNUMBER((((NºAsuntos!C9+NºAsuntos!E9)/NºAsuntos!G9)-Datos!BG9)/Datos!BG9),(((NºAsuntos!C9+NºAsuntos!E9)/NºAsuntos!G9)-Datos!BG9)/Datos!BG9," - ")</f>
        <v>-2.7219560524058852E-2</v>
      </c>
    </row>
    <row r="10" spans="1:11">
      <c r="A10" s="402" t="str">
        <f>Datos!A10</f>
        <v>Jdos. Violencia contra la mujer</v>
      </c>
      <c r="B10" s="455">
        <f>IF(ISNUMBER((Datos!I10-Datos!S10)/Datos!S10),(Datos!I10-Datos!S10)/Datos!S10," - ")</f>
        <v>-0.13675213675213677</v>
      </c>
      <c r="C10" s="456">
        <f>IF(ISNUMBER((Datos!J10-Datos!T10)/Datos!T10),(Datos!J10-Datos!T10)/Datos!T10," - ")</f>
        <v>-4.878048780487805E-2</v>
      </c>
      <c r="D10" s="456">
        <f>IF(ISNUMBER((Datos!K10-Datos!U10)/Datos!U10),(Datos!K10-Datos!U10)/Datos!U10," - ")</f>
        <v>-0.45161290322580644</v>
      </c>
      <c r="E10" s="456">
        <f>IF(ISNUMBER((Datos!L10-Datos!V10)/Datos!V10),(Datos!L10-Datos!V10)/Datos!V10," - ")</f>
        <v>0.10416666666666667</v>
      </c>
      <c r="F10" s="456">
        <f>IF(ISNUMBER((Datos!M10-Datos!W10)/Datos!W10),(Datos!M10-Datos!W10)/Datos!W10," - ")</f>
        <v>-0.2</v>
      </c>
      <c r="G10" s="457">
        <f>IF(ISNUMBER((Datos!N10-Datos!X10)/Datos!X10),(Datos!N10-Datos!X10)/Datos!X10," - ")</f>
        <v>-0.59259259259259256</v>
      </c>
      <c r="H10" s="455">
        <f>IF(ISNUMBER(((NºAsuntos!G10/NºAsuntos!E10)-Datos!BD10)/Datos!BD10),((NºAsuntos!G10/NºAsuntos!E10)-Datos!BD10)/Datos!BD10," - ")</f>
        <v>-0.42349048800661704</v>
      </c>
      <c r="I10" s="456">
        <f>IF(ISNUMBER(((NºAsuntos!I10/NºAsuntos!G10)-Datos!BE10)/Datos!BE10),((NºAsuntos!I10/NºAsuntos!G10)-Datos!BE10)/Datos!BE10," - ")</f>
        <v>1.0134803921568629</v>
      </c>
      <c r="J10" s="461">
        <f>IF(ISNUMBER((('Resol  Asuntos'!D10/NºAsuntos!G10)-Datos!BF10)/Datos!BF10),(('Resol  Asuntos'!D10/NºAsuntos!G10)-Datos!BF10)/Datos!BF10," - ")</f>
        <v>0.45882352941176474</v>
      </c>
      <c r="K10" s="462">
        <f>IF(ISNUMBER((((NºAsuntos!C10+NºAsuntos!E10)/NºAsuntos!G10)-Datos!BG10)/Datos!BG10),(((NºAsuntos!C10+NºAsuntos!E10)/NºAsuntos!G10)-Datos!BG10)/Datos!BG10," - ")</f>
        <v>0.61578555472822027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0.31334149326805383</v>
      </c>
      <c r="C13" s="855">
        <f>IF(ISNUMBER(
   IF(J_V="SI",(Datos!J13-Datos!T13)/Datos!T13,(Datos!J13+Datos!Z13-(Datos!T13+Datos!AH13))/(Datos!T13+Datos!AH13))
     ),IF(J_V="SI",(Datos!J13-Datos!T13)/Datos!T13,(Datos!J13+Datos!Z13-(Datos!T13+Datos!AH13))/(Datos!T13+Datos!AH13))," - ")</f>
        <v>0.10897703549060543</v>
      </c>
      <c r="D13" s="855">
        <f>IF(ISNUMBER(
   IF(J_V="SI",(Datos!K13-Datos!U13)/Datos!U13,(Datos!K13+Datos!AA13-(Datos!U13+Datos!AI13))/(Datos!U13+Datos!AI13))
     ),IF(J_V="SI",(Datos!K13-Datos!U13)/Datos!U13,(Datos!K13+Datos!AA13-(Datos!U13+Datos!AI13))/(Datos!U13+Datos!AI13))," - ")</f>
        <v>0.27245508982035926</v>
      </c>
      <c r="E13" s="855">
        <f>IF(ISNUMBER(
   IF(J_V="SI",(Datos!L13-Datos!V13)/Datos!V13,(Datos!L13+Datos!AB13-(Datos!V13+Datos!AJ13))/(Datos!V13+Datos!AJ13))
     ),IF(J_V="SI",(Datos!L13-Datos!V13)/Datos!V13,(Datos!L13+Datos!AB13-(Datos!V13+Datos!AJ13))/(Datos!V13+Datos!AJ13))," - ")</f>
        <v>0.24615384615384617</v>
      </c>
      <c r="F13" s="856">
        <f>IF(ISNUMBER((Datos!M13-Datos!W13)/Datos!W13),(Datos!M13-Datos!W13)/Datos!W13," - ")</f>
        <v>0.17985611510791366</v>
      </c>
      <c r="G13" s="857">
        <f>IF(ISNUMBER((Datos!N13-Datos!X13)/Datos!X13),(Datos!N13-Datos!X13)/Datos!X13," - ")</f>
        <v>0.21985058697972251</v>
      </c>
      <c r="H13" s="857">
        <f>IF(ISNUMBER(((NºAsuntos!G13/NºAsuntos!E13)-Datos!BD13)/Datos!BD13),((NºAsuntos!G13/NºAsuntos!E13)-Datos!BD13)/Datos!BD13," - ")</f>
        <v>0.14741338106918692</v>
      </c>
      <c r="I13" s="857">
        <f>IF(ISNUMBER(((NºAsuntos!I13/NºAsuntos!G13)-Datos!BE13)/Datos!BE13),((NºAsuntos!I13/NºAsuntos!G13)-Datos!BE13)/Datos!BE13," - ")</f>
        <v>-2.0669683257918587E-2</v>
      </c>
      <c r="J13" s="857">
        <f>IF(ISNUMBER((('Resol  Asuntos'!D13/NºAsuntos!G13)-Datos!BF13)/Datos!BF13),(('Resol  Asuntos'!D13/NºAsuntos!G13)-Datos!BF13)/Datos!BF13," - ")</f>
        <v>-0.58424288425047444</v>
      </c>
      <c r="K13" s="857">
        <f>IF(ISNUMBER((((NºAsuntos!C13+NºAsuntos!E13)/NºAsuntos!G13)-Datos!BG13)/Datos!BG13),(((NºAsuntos!C13+NºAsuntos!E13)/NºAsuntos!G13)-Datos!BG13)/Datos!BG13," - ")</f>
        <v>-1.5274108657512867E-2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0.11274182788525684</v>
      </c>
      <c r="C15" s="456">
        <f>IF(ISNUMBER(
   IF(D_I="SI",(Datos!J15-Datos!T15)/Datos!T15,(Datos!J15+Datos!AD15-(Datos!T15+Datos!AL15))/(Datos!T15+Datos!AL15))
     ),IF(D_I="SI",(Datos!J15-Datos!T15)/Datos!T15,(Datos!J15+Datos!AD15-(Datos!T15+Datos!AL15))/(Datos!T15+Datos!AL15))," - ")</f>
        <v>-4.3506921555702044E-2</v>
      </c>
      <c r="D15" s="456">
        <f>IF(ISNUMBER(
   IF(D_I="SI",(Datos!K15-Datos!U15)/Datos!U15,(Datos!K15+Datos!AE15-(Datos!U15+Datos!AM15))/(Datos!U15+Datos!AM15))
     ),IF(D_I="SI",(Datos!K15-Datos!U15)/Datos!U15,(Datos!K15+Datos!AE15-(Datos!U15+Datos!AM15))/(Datos!U15+Datos!AM15))," - ")</f>
        <v>-5.8898847631242E-2</v>
      </c>
      <c r="E15" s="456">
        <f>IF(ISNUMBER(
   IF(D_I="SI",(Datos!L15-Datos!V15)/Datos!V15,(Datos!L15+Datos!AF15-(Datos!V15+Datos!AN15))/(Datos!V15+Datos!AN15))
     ),IF(D_I="SI",(Datos!L15-Datos!V15)/Datos!V15,(Datos!L15+Datos!AF15-(Datos!V15+Datos!AN15))/(Datos!V15+Datos!AN15))," - ")</f>
        <v>0.134785568413887</v>
      </c>
      <c r="F15" s="456">
        <f>IF(ISNUMBER((Datos!M15-Datos!W15)/Datos!W15),(Datos!M15-Datos!W15)/Datos!W15," - ")</f>
        <v>5.6939501779359428E-2</v>
      </c>
      <c r="G15" s="457">
        <f>IF(ISNUMBER((Datos!N15-Datos!X15)/Datos!X15),(Datos!N15-Datos!X15)/Datos!X15," - ")</f>
        <v>-9.055118110236221E-2</v>
      </c>
      <c r="H15" s="455">
        <f>IF(ISNUMBER(((NºAsuntos!G15/NºAsuntos!E15)-Datos!BD15)/Datos!BD15),((NºAsuntos!G15/NºAsuntos!E15)-Datos!BD15)/Datos!BD15," - ")</f>
        <v>-1.6092041251960228E-2</v>
      </c>
      <c r="I15" s="456">
        <f>IF(ISNUMBER(((NºAsuntos!I15/NºAsuntos!G15)-Datos!BE15)/Datos!BE15),((NºAsuntos!I15/NºAsuntos!G15)-Datos!BE15)/Datos!BE15," - ")</f>
        <v>0.20580616181121866</v>
      </c>
      <c r="J15" s="461">
        <f>IF(ISNUMBER((('Resol  Asuntos'!D15/NºAsuntos!G15)-Datos!BF15)/Datos!BF15),(('Resol  Asuntos'!D15/NºAsuntos!G15)-Datos!BF15)/Datos!BF15," - ")</f>
        <v>0.12308809644854393</v>
      </c>
      <c r="K15" s="462">
        <f>IF(ISNUMBER((((NºAsuntos!C15+NºAsuntos!E15)/NºAsuntos!G15)-Datos!BG15)/Datos!BG15),(((NºAsuntos!C15+NºAsuntos!E15)/NºAsuntos!G15)-Datos!BG15)/Datos!BG15," - ")</f>
        <v>7.1258240777008E-2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-0.23588039867109634</v>
      </c>
      <c r="C17" s="456">
        <f>IF(ISNUMBER(
   IF(D_I="SI",(Datos!J17-Datos!T17)/Datos!T17,(Datos!J17+Datos!AD17-(Datos!T17+Datos!AL17))/(Datos!T17+Datos!AL17))
     ),IF(D_I="SI",(Datos!J17-Datos!T17)/Datos!T17,(Datos!J17+Datos!AD17-(Datos!T17+Datos!AL17))/(Datos!T17+Datos!AL17))," - ")</f>
        <v>5.2238805970149252E-2</v>
      </c>
      <c r="D17" s="456">
        <f>IF(ISNUMBER(
   IF(D_I="SI",(Datos!K17-Datos!U17)/Datos!U17,(Datos!K17+Datos!AE17-(Datos!U17+Datos!AM17))/(Datos!U17+Datos!AM17))
     ),IF(D_I="SI",(Datos!K17-Datos!U17)/Datos!U17,(Datos!K17+Datos!AE17-(Datos!U17+Datos!AM17))/(Datos!U17+Datos!AM17))," - ")</f>
        <v>7.8651685393258425E-2</v>
      </c>
      <c r="E17" s="456">
        <f>IF(ISNUMBER(
   IF(D_I="SI",(Datos!L17-Datos!V17)/Datos!V17,(Datos!L17+Datos!AF17-(Datos!V17+Datos!AN17))/(Datos!V17+Datos!AN17))
     ),IF(D_I="SI",(Datos!L17-Datos!V17)/Datos!V17,(Datos!L17+Datos!AF17-(Datos!V17+Datos!AN17))/(Datos!V17+Datos!AN17))," - ")</f>
        <v>-0.26072607260726072</v>
      </c>
      <c r="F17" s="456">
        <f>IF(ISNUMBER((Datos!M17-Datos!W17)/Datos!W17),(Datos!M17-Datos!W17)/Datos!W17," - ")</f>
        <v>-0.41935483870967744</v>
      </c>
      <c r="G17" s="457">
        <f>IF(ISNUMBER((Datos!N17-Datos!X17)/Datos!X17),(Datos!N17-Datos!X17)/Datos!X17," - ")</f>
        <v>0.19480519480519481</v>
      </c>
      <c r="H17" s="455">
        <f>IF(ISNUMBER(((NºAsuntos!G17/NºAsuntos!E17)-Datos!BD17)/Datos!BD17),((NºAsuntos!G17/NºAsuntos!E17)-Datos!BD17)/Datos!BD17," - ")</f>
        <v>2.5101601721252562E-2</v>
      </c>
      <c r="I17" s="456">
        <f>IF(ISNUMBER(((NºAsuntos!I17/NºAsuntos!G17)-Datos!BE17)/Datos!BE17),((NºAsuntos!I17/NºAsuntos!G17)-Datos!BE17)/Datos!BE17," - ")</f>
        <v>-0.31463146314631468</v>
      </c>
      <c r="J17" s="461">
        <f>IF(ISNUMBER((('Resol  Asuntos'!D17/NºAsuntos!G17)-Datos!BF17)/Datos!BF17),(('Resol  Asuntos'!D17/NºAsuntos!G17)-Datos!BF17)/Datos!BF17," - ")</f>
        <v>-0.46169354838709681</v>
      </c>
      <c r="K17" s="462">
        <f>IF(ISNUMBER((((NºAsuntos!C17+NºAsuntos!E17)/NºAsuntos!G17)-Datos!BG17)/Datos!BG17),(((NºAsuntos!C17+NºAsuntos!E17)/NºAsuntos!G17)-Datos!BG17)/Datos!BG17," - ")</f>
        <v>-0.16578793204452263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5.4444444444444441E-2</v>
      </c>
      <c r="C18" s="855">
        <f>IF(ISNUMBER(
   IF(Criterios!B14="SI",(Datos!J18-Datos!T18)/Datos!T18,(Datos!J18+Datos!AD18-(Datos!T18+Datos!AL18))/(Datos!T18+Datos!AL18))
     ),IF(Criterios!B14="SI",(Datos!J18-Datos!T18)/Datos!T18,(Datos!J18+Datos!AD18-(Datos!T18+Datos!AL18))/(Datos!T18+Datos!AL18))," - ")</f>
        <v>-3.5735917625681408E-2</v>
      </c>
      <c r="D18" s="855">
        <f>IF(ISNUMBER(
   IF(Criterios!B14="SI",(Datos!K18-Datos!U18)/Datos!U18,(Datos!K18+Datos!AE18-(Datos!U18+Datos!AM18))/(Datos!U18+Datos!AM18))
     ),IF(Criterios!B14="SI",(Datos!K18-Datos!U18)/Datos!U18,(Datos!K18+Datos!AE18-(Datos!U18+Datos!AM18))/(Datos!U18+Datos!AM18))," - ")</f>
        <v>-4.806841639634326E-2</v>
      </c>
      <c r="E18" s="855">
        <f>IF(ISNUMBER(
   IF(Criterios!B14="SI",(Datos!L18-Datos!V18)/Datos!V18,(Datos!L18+Datos!AF18-(Datos!V18+Datos!AN18))/(Datos!V18+Datos!AN18))
     ),IF(Criterios!B14="SI",(Datos!L18-Datos!V18)/Datos!V18,(Datos!L18+Datos!AF18-(Datos!V18+Datos!AN18))/(Datos!V18+Datos!AN18))," - ")</f>
        <v>6.7155756207674944E-2</v>
      </c>
      <c r="F18" s="856">
        <f>IF(ISNUMBER((Datos!M18-Datos!W18)/Datos!W18),(Datos!M18-Datos!W18)/Datos!W18," - ")</f>
        <v>9.6153846153846159E-3</v>
      </c>
      <c r="G18" s="857">
        <f>IF(ISNUMBER((Datos!N18-Datos!X18)/Datos!X18),(Datos!N18-Datos!X18)/Datos!X18," - ")</f>
        <v>-7.0448307410795968E-2</v>
      </c>
      <c r="H18" s="857">
        <f>IF(ISNUMBER(((NºAsuntos!G18/NºAsuntos!E18)-Datos!BD18)/Datos!BD18),((NºAsuntos!G18/NºAsuntos!E18)-Datos!BD18)/Datos!BD18," - ")</f>
        <v>-1.2789544893443998E-2</v>
      </c>
      <c r="I18" s="857">
        <f>IF(ISNUMBER(((NºAsuntos!I18/NºAsuntos!G18)-Datos!BE18)/Datos!BE18),((NºAsuntos!I18/NºAsuntos!G18)-Datos!BE18)/Datos!BE18," - ")</f>
        <v>0.12104249358743048</v>
      </c>
      <c r="J18" s="857">
        <f>IF(ISNUMBER((('Resol  Asuntos'!D18/NºAsuntos!G18)-Datos!BF18)/Datos!BF18),(('Resol  Asuntos'!D18/NºAsuntos!G18)-Datos!BF18)/Datos!BF18," - ")</f>
        <v>6.0596582785244504E-2</v>
      </c>
      <c r="K18" s="857">
        <f>IF(ISNUMBER((((NºAsuntos!C18+NºAsuntos!E18)/NºAsuntos!G18)-Datos!BG18)/Datos!BG18),(((NºAsuntos!C18+NºAsuntos!E18)/NºAsuntos!G18)-Datos!BG18)/Datos!BG18," - ")</f>
        <v>4.6377687006626228E-2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0.25136321319324378</v>
      </c>
      <c r="C19" s="802">
        <f>IF(ISNUMBER(
   IF(J_V="SI",(Datos!J19-Datos!T19)/Datos!T19,(Datos!J19+Datos!Z19-(Datos!T19+Datos!AH19))/(Datos!T19+Datos!AH19))
     ),IF(J_V="SI",(Datos!J19-Datos!T19)/Datos!T19,(Datos!J19+Datos!Z19-(Datos!T19+Datos!AH19))/(Datos!T19+Datos!AH19))," - ")</f>
        <v>2.5100930314200458E-2</v>
      </c>
      <c r="D19" s="802">
        <f>IF(ISNUMBER(
   IF(J_V="SI",(Datos!K19-Datos!U19)/Datos!U19,(Datos!K19+Datos!AA19-(Datos!U19+Datos!AI19))/(Datos!U19+Datos!AI19))
     ),IF(J_V="SI",(Datos!K19-Datos!U19)/Datos!U19,(Datos!K19+Datos!AA19-(Datos!U19+Datos!AI19))/(Datos!U19+Datos!AI19))," - ")</f>
        <v>7.0991658943466165E-2</v>
      </c>
      <c r="E19" s="802">
        <f>IF(ISNUMBER(
   IF(J_V="SI",(Datos!L19-Datos!V19)/Datos!V19,(Datos!L19+Datos!AB19-(Datos!V19+Datos!AJ19))/(Datos!V19+Datos!AJ19))
     ),IF(J_V="SI",(Datos!L19-Datos!V19)/Datos!V19,(Datos!L19+Datos!AB19-(Datos!V19+Datos!AJ19))/(Datos!V19+Datos!AJ19))," - ")</f>
        <v>0.20591220502410557</v>
      </c>
      <c r="F19" s="803">
        <f>IF(ISNUMBER((Datos!M19-Datos!W19)/Datos!W19),(Datos!M19-Datos!W19)/Datos!W19," - ")</f>
        <v>0.10699588477366255</v>
      </c>
      <c r="G19" s="804">
        <f>IF(ISNUMBER((Datos!N19-Datos!X19)/Datos!X19),(Datos!N19-Datos!X19)/Datos!X19," - ")</f>
        <v>1.6650656420108871E-2</v>
      </c>
      <c r="H19" s="805">
        <f>IF(ISNUMBER((Tasas!B19-Datos!BD19)/Datos!BD19),(Tasas!B19-Datos!BD19)/Datos!BD19," - ")</f>
        <v>4.4767034417966846E-2</v>
      </c>
      <c r="I19" s="806">
        <f>IF(ISNUMBER((Tasas!C19-Datos!BE19)/Datos!BE19),(Tasas!C19-Datos!BE19)/Datos!BE19," - ")</f>
        <v>0.12597721462531156</v>
      </c>
      <c r="J19" s="807">
        <f>IF(ISNUMBER((Tasas!D19-Datos!BF19)/Datos!BF19),(Tasas!D19-Datos!BF19)/Datos!BF19," - ")</f>
        <v>-0.39331137765604329</v>
      </c>
      <c r="K19" s="807">
        <f>IF(ISNUMBER((Tasas!E19-Datos!BG19)/Datos!BG19),(Tasas!E19-Datos!BG19)/Datos!BG19," - ")</f>
        <v>7.734610522756015E-2</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gJZTExkKuQLDAcwqANL6Ok7cTysFboNmnH9lTGOszPP45vI+maiiKzof8WHvtcpT7c2ef7Xgk8RDJUIsQK1vw==" saltValue="tnL0yKa+uMYd3fdkWlxsA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FUENGIROLA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0.96140619029423002</v>
      </c>
      <c r="C9" s="443">
        <f>IF(ISNUMBER(NºAsuntos!I9/NºAsuntos!G9),NºAsuntos!I9/NºAsuntos!G9," - ")</f>
        <v>2.9841017488076313</v>
      </c>
      <c r="D9" s="444">
        <f>IF(ISNUMBER('Resol  Asuntos'!D9/NºAsuntos!G9),'Resol  Asuntos'!D9/NºAsuntos!G9," - ")</f>
        <v>0.1891891891891892</v>
      </c>
      <c r="E9" s="445">
        <f>IF(ISNUMBER((NºAsuntos!C9+NºAsuntos!E9)/NºAsuntos!G9),(NºAsuntos!C9+NºAsuntos!E9)/NºAsuntos!G9," - ")</f>
        <v>3.9852941176470589</v>
      </c>
      <c r="G9" s="463"/>
    </row>
    <row r="10" spans="1:7">
      <c r="A10" s="402" t="str">
        <f>Datos!A10</f>
        <v>Jdos. Violencia contra la mujer</v>
      </c>
      <c r="B10" s="442">
        <f>IF(ISNUMBER(NºAsuntos!G10/NºAsuntos!E10),NºAsuntos!G10/NºAsuntos!E10," - ")</f>
        <v>0.87179487179487181</v>
      </c>
      <c r="C10" s="443">
        <f>IF(ISNUMBER(NºAsuntos!I10/NºAsuntos!G10),NºAsuntos!I10/NºAsuntos!G10," - ")</f>
        <v>3.1176470588235294</v>
      </c>
      <c r="D10" s="444">
        <f>IF(ISNUMBER('Resol  Asuntos'!D10/NºAsuntos!G10),'Resol  Asuntos'!D10/NºAsuntos!G10," - ")</f>
        <v>0.47058823529411764</v>
      </c>
      <c r="E10" s="445">
        <f>IF(ISNUMBER((NºAsuntos!C10+NºAsuntos!E10)/NºAsuntos!G10),(NºAsuntos!C10+NºAsuntos!E10)/NºAsuntos!G10," - ")</f>
        <v>4.117647058823529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0.96009036144578308</v>
      </c>
      <c r="C13" s="859">
        <f>IF(ISNUMBER(NºAsuntos!I13/NºAsuntos!G13),NºAsuntos!I13/NºAsuntos!G13," - ")</f>
        <v>2.9858823529411764</v>
      </c>
      <c r="D13" s="860">
        <f>IF(ISNUMBER('Resol  Asuntos'!D13/NºAsuntos!G13),'Resol  Asuntos'!D13/NºAsuntos!G13," - ")</f>
        <v>0.19294117647058823</v>
      </c>
      <c r="E13" s="861">
        <f>IF(ISNUMBER((NºAsuntos!C13+NºAsuntos!E13)/NºAsuntos!G13),(NºAsuntos!C13+NºAsuntos!E13)/NºAsuntos!G13," - ")</f>
        <v>3.9870588235294115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1.0130944176430048</v>
      </c>
      <c r="C15" s="443">
        <f>IF(ISNUMBER(NºAsuntos!I15/NºAsuntos!G15),NºAsuntos!I15/NºAsuntos!G15," - ")</f>
        <v>0.56700680272108839</v>
      </c>
      <c r="D15" s="444">
        <f>IF(ISNUMBER('Resol  Asuntos'!D15/NºAsuntos!G15),'Resol  Asuntos'!D15/NºAsuntos!G15," - ")</f>
        <v>0.10102040816326531</v>
      </c>
      <c r="E15" s="445">
        <f>IF(ISNUMBER((NºAsuntos!C15+NºAsuntos!E15)/NºAsuntos!G15),(NºAsuntos!C15+NºAsuntos!E15)/NºAsuntos!G15," - ")</f>
        <v>1.5544217687074831</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1.0212765957446808</v>
      </c>
      <c r="C17" s="443">
        <f>IF(ISNUMBER(NºAsuntos!I17/NºAsuntos!G17),NºAsuntos!I17/NºAsuntos!G17," - ")</f>
        <v>0.77777777777777779</v>
      </c>
      <c r="D17" s="444">
        <f>IF(ISNUMBER('Resol  Asuntos'!D17/NºAsuntos!G17),'Resol  Asuntos'!D17/NºAsuntos!G17," - ")</f>
        <v>6.25E-2</v>
      </c>
      <c r="E17" s="445">
        <f>IF(ISNUMBER((NºAsuntos!C17+NºAsuntos!E17)/NºAsuntos!G17),(NºAsuntos!C17+NºAsuntos!E17)/NºAsuntos!G17," - ")</f>
        <v>1.7777777777777777</v>
      </c>
      <c r="G17" s="463"/>
    </row>
    <row r="18" spans="1:7" ht="14.25" thickTop="1" thickBot="1">
      <c r="A18" s="848" t="str">
        <f>Datos!A18</f>
        <v>TOTAL</v>
      </c>
      <c r="B18" s="858">
        <f>IF(ISNUMBER(NºAsuntos!G18/NºAsuntos!E18),NºAsuntos!G18/NºAsuntos!E18," - ")</f>
        <v>1.0138190954773869</v>
      </c>
      <c r="C18" s="859">
        <f>IF(ISNUMBER(NºAsuntos!I18/NºAsuntos!G18),NºAsuntos!I18/NºAsuntos!G18," - ")</f>
        <v>0.58581164807930608</v>
      </c>
      <c r="D18" s="862">
        <f>IF(ISNUMBER('Resol  Asuntos'!D18/NºAsuntos!G18),'Resol  Asuntos'!D18/NºAsuntos!G18," - ")</f>
        <v>9.7583643122676575E-2</v>
      </c>
      <c r="E18" s="861">
        <f>IF(ISNUMBER((NºAsuntos!C18+NºAsuntos!E18)/NºAsuntos!G18),(NºAsuntos!C18+NºAsuntos!E18)/NºAsuntos!G18," - ")</f>
        <v>1.5743494423791822</v>
      </c>
      <c r="G18" s="463"/>
    </row>
    <row r="19" spans="1:7" ht="15.75" customHeight="1" thickTop="1" thickBot="1">
      <c r="A19" s="793" t="str">
        <f>Datos!A19</f>
        <v>TOTAL JURISDICCIONES</v>
      </c>
      <c r="B19" s="808">
        <f>IF(ISNUMBER(NºAsuntos!G19/NºAsuntos!E19),NºAsuntos!G19/NºAsuntos!E19," - ")</f>
        <v>0.98938356164383556</v>
      </c>
      <c r="C19" s="809">
        <f>IF(ISNUMBER(NºAsuntos!I19/NºAsuntos!G19),NºAsuntos!I19/NºAsuntos!G19," - ")</f>
        <v>1.6450328833506405</v>
      </c>
      <c r="D19" s="810">
        <f>IF(ISNUMBER('Resol  Asuntos'!D19/NºAsuntos!G19),'Resol  Asuntos'!D19/NºAsuntos!G19," - ")</f>
        <v>0.13966770508826584</v>
      </c>
      <c r="E19" s="811">
        <f>IF(ISNUMBER((NºAsuntos!C19+NºAsuntos!E19)/NºAsuntos!G19),(NºAsuntos!C19+NºAsuntos!E19)/NºAsuntos!G19," - ")</f>
        <v>2.6391484942886811</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VTfR50WQfLWoDOD2IS1by7/qSBBOnoaNNQcmVVo7NtNbwuUnBCvvQ51dvr5/JjolqYo8LWwYX1P0raPh6zUgA==" saltValue="rCLdBw4wt2AUfNd3E3y1L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FUENGIROLA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498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320</v>
      </c>
      <c r="Y9" s="334">
        <f>SUM(W9:X9)</f>
        <v>320</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7472</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476</v>
      </c>
      <c r="AJ9" s="229" t="str">
        <f>IF(ISNUMBER(Datos!BW9),Datos!BW9," - ")</f>
        <v xml:space="preserve"> - </v>
      </c>
      <c r="AK9" s="228" t="str">
        <f>IF(ISNUMBER(Datos!BX9),Datos!BX9," - ")</f>
        <v xml:space="preserve"> - </v>
      </c>
      <c r="AL9" s="243">
        <f>IF(ISNUMBER(NºAsuntos!G9/NºAsuntos!E9),NºAsuntos!G9/NºAsuntos!E9," - ")</f>
        <v>0.96140619029423002</v>
      </c>
      <c r="AM9" s="260">
        <f>IF(ISNUMBER(((NºAsuntos!I9/NºAsuntos!G9)*11)/factor_trimestre),((NºAsuntos!I9/NºAsuntos!G9)*11)/factor_trimestre," - ")</f>
        <v>8.9523052464228936</v>
      </c>
      <c r="AN9" s="244">
        <f>IF(ISNUMBER('Resol  Asuntos'!D9/NºAsuntos!G9),'Resol  Asuntos'!D9/NºAsuntos!G9," - ")</f>
        <v>0.1891891891891892</v>
      </c>
      <c r="AO9" s="245">
        <f>IF(ISNUMBER((NºAsuntos!C9+NºAsuntos!E9)/NºAsuntos!G9),(NºAsuntos!C9+NºAsuntos!E9)/NºAsuntos!G9," - ")</f>
        <v>3.9852941176470589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101</v>
      </c>
      <c r="G10" s="333">
        <f>IF(ISNUMBER(Datos!I10),Datos!I10," - ")</f>
        <v>101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34</v>
      </c>
      <c r="X10" s="226">
        <f>IF(ISNUMBER(Datos!Q10),Datos!Q10," - ")</f>
        <v>2</v>
      </c>
      <c r="Y10" s="334">
        <f t="shared" ref="Y10:Y12" si="0">SUM(W10:X10)</f>
        <v>36</v>
      </c>
      <c r="Z10" s="335" t="str">
        <f>IF(ISNUMBER(Datos!CC10),Datos!CC10," - ")</f>
        <v xml:space="preserve"> - </v>
      </c>
      <c r="AA10" s="332">
        <f>IF(ISNUMBER(Datos!L10),Datos!L10,"-")</f>
        <v>106</v>
      </c>
      <c r="AB10" s="334">
        <f>IF(ISNUMBER(Datos!R10),Datos!R10," - ")</f>
        <v>93</v>
      </c>
      <c r="AC10" s="334">
        <f t="shared" ref="AC10:AC12" si="1">IF(ISNUMBER(AA10+AB10),AA10+AB10," - ")</f>
        <v>199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16</v>
      </c>
      <c r="AJ10" s="231" t="str">
        <f>IF(ISNUMBER(Datos!BW10),Datos!BW10," - ")</f>
        <v xml:space="preserve"> - </v>
      </c>
      <c r="AK10" s="232" t="str">
        <f>IF(ISNUMBER(Datos!BX10),Datos!BX10," - ")</f>
        <v xml:space="preserve"> - </v>
      </c>
      <c r="AL10" s="243">
        <f>IF(ISNUMBER(NºAsuntos!G10/NºAsuntos!E10),NºAsuntos!G10/NºAsuntos!E10," - ")</f>
        <v>0.87179487179487181</v>
      </c>
      <c r="AM10" s="260">
        <f>IF(ISNUMBER(((NºAsuntos!I10/NºAsuntos!G10)*11)/factor_trimestre),((NºAsuntos!I10/NºAsuntos!G10)*11)/factor_trimestre," - ")</f>
        <v>9.3529411764705888</v>
      </c>
      <c r="AN10" s="244">
        <f>IF(ISNUMBER('Resol  Asuntos'!D10/NºAsuntos!G10),'Resol  Asuntos'!D10/NºAsuntos!G10," - ")</f>
        <v>0.47058823529411764</v>
      </c>
      <c r="AO10" s="245">
        <f>IF(ISNUMBER((NºAsuntos!C10+NºAsuntos!E10)/NºAsuntos!G10),(NºAsuntos!C10+NºAsuntos!E10)/NºAsuntos!G10," - ")</f>
        <v>4.117647058823529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101</v>
      </c>
      <c r="G13" s="866">
        <f t="shared" si="3"/>
        <v>101</v>
      </c>
      <c r="H13" s="865">
        <f t="shared" si="3"/>
        <v>0</v>
      </c>
      <c r="I13" s="867">
        <f t="shared" si="3"/>
        <v>0</v>
      </c>
      <c r="J13" s="867">
        <f t="shared" si="3"/>
        <v>0</v>
      </c>
      <c r="K13" s="867">
        <f t="shared" si="3"/>
        <v>0</v>
      </c>
      <c r="L13" s="867">
        <f t="shared" si="3"/>
        <v>508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34</v>
      </c>
      <c r="X13" s="867">
        <f t="shared" si="4"/>
        <v>322</v>
      </c>
      <c r="Y13" s="868">
        <f t="shared" si="4"/>
        <v>356</v>
      </c>
      <c r="Z13" s="868">
        <f t="shared" si="4"/>
        <v>0</v>
      </c>
      <c r="AA13" s="868">
        <f t="shared" si="4"/>
        <v>106</v>
      </c>
      <c r="AB13" s="868">
        <f t="shared" si="4"/>
        <v>7565</v>
      </c>
      <c r="AC13" s="868">
        <f t="shared" si="4"/>
        <v>199</v>
      </c>
      <c r="AD13" s="868">
        <f t="shared" si="4"/>
        <v>0</v>
      </c>
      <c r="AE13" s="872">
        <f t="shared" si="4"/>
        <v>0</v>
      </c>
      <c r="AF13" s="865">
        <f t="shared" si="4"/>
        <v>0</v>
      </c>
      <c r="AG13" s="873">
        <f t="shared" si="4"/>
        <v>0</v>
      </c>
      <c r="AH13" s="870">
        <f t="shared" si="4"/>
        <v>0</v>
      </c>
      <c r="AI13" s="865">
        <f t="shared" si="4"/>
        <v>492</v>
      </c>
      <c r="AJ13" s="867">
        <f t="shared" si="4"/>
        <v>0</v>
      </c>
      <c r="AK13" s="870">
        <f>SUBTOTAL(9,AK9:AK12)</f>
        <v>0</v>
      </c>
      <c r="AL13" s="874">
        <f>IF(ISNUMBER(NºAsuntos!G13/NºAsuntos!E13),NºAsuntos!G13/NºAsuntos!E13," - ")</f>
        <v>0.96009036144578308</v>
      </c>
      <c r="AM13" s="874">
        <f>IF(ISNUMBER(((NºAsuntos!I13/NºAsuntos!G13)*11)/factor_trimestre),((NºAsuntos!I13/NºAsuntos!G13)*11)/factor_trimestre," - ")</f>
        <v>8.9576470588235289</v>
      </c>
      <c r="AN13" s="875">
        <f>IF(ISNUMBER('Resol  Asuntos'!D13/NºAsuntos!G13),'Resol  Asuntos'!D13/NºAsuntos!G13," - ")</f>
        <v>0.19294117647058823</v>
      </c>
      <c r="AO13" s="876">
        <f>IF(ISNUMBER((NºAsuntos!C13+NºAsuntos!E13)/NºAsuntos!G13),(NºAsuntos!C13+NºAsuntos!E13)/NºAsuntos!G13," - ")</f>
        <v>3.9870588235294115</v>
      </c>
      <c r="AP13" s="877" t="str">
        <f t="shared" si="2"/>
        <v xml:space="preserve"> - </v>
      </c>
      <c r="AQ13" s="877">
        <f>IF(ISNUMBER((H13-W13+K13)/(F13)),(H13-W13+K13)/(F13)," - ")</f>
        <v>-0.33663366336633666</v>
      </c>
      <c r="AR13" s="878">
        <f>IF(ISNUMBER((Datos!P13-Datos!Q13)/(Datos!R13-Datos!P13+Datos!Q13)),(Datos!P13-Datos!Q13)/(Datos!R13-Datos!P13+Datos!Q13)," - ")</f>
        <v>2.5206667570131455E-2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1705</v>
      </c>
      <c r="G15" s="333">
        <f>IF(ISNUMBER(IF(D_I="SI",Datos!I15,Datos!I15+Datos!AC15)),IF(D_I="SI",Datos!I15,Datos!I15+Datos!AC15)," - ")</f>
        <v>1668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101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2940</v>
      </c>
      <c r="X15" s="226">
        <f>IF(ISNUMBER(Datos!Q15),Datos!Q15," - ")</f>
        <v>111</v>
      </c>
      <c r="Y15" s="334">
        <f>SUM(W15)</f>
        <v>2940</v>
      </c>
      <c r="Z15" s="335" t="str">
        <f>IF(ISNUMBER(Datos!CC15),Datos!CC15," - ")</f>
        <v xml:space="preserve"> - </v>
      </c>
      <c r="AA15" s="332">
        <f>IF(ISNUMBER(IF(D_I="SI",Datos!L15,Datos!L15+Datos!AF15)),IF(D_I="SI",Datos!L15,Datos!L15+Datos!AF15)," - ")</f>
        <v>1667</v>
      </c>
      <c r="AB15" s="334">
        <f>IF(ISNUMBER(Datos!R15),Datos!R15," - ")</f>
        <v>280</v>
      </c>
      <c r="AC15" s="334">
        <f t="shared" ref="AC15:AC17" si="6">IF(ISNUMBER(AA15+AB15),AA15+AB15," - ")</f>
        <v>1947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297</v>
      </c>
      <c r="AJ15" s="231" t="str">
        <f>IF(ISNUMBER(Datos!BW15),Datos!BW15," - ")</f>
        <v xml:space="preserve"> - </v>
      </c>
      <c r="AK15" s="232" t="str">
        <f>IF(ISNUMBER(Datos!BX15),Datos!BX15," - ")</f>
        <v xml:space="preserve"> - </v>
      </c>
      <c r="AL15" s="243">
        <f>IF(ISNUMBER(NºAsuntos!G15/NºAsuntos!E15),NºAsuntos!G15/NºAsuntos!E15," - ")</f>
        <v>1.0130944176430048</v>
      </c>
      <c r="AM15" s="260">
        <f>IF(ISNUMBER(((NºAsuntos!I15/NºAsuntos!G15)*11)/factor_trimestre),((NºAsuntos!I15/NºAsuntos!G15)*11)/factor_trimestre," - ")</f>
        <v>1.7010204081632652</v>
      </c>
      <c r="AN15" s="244">
        <f>IF(ISNUMBER('Resol  Asuntos'!D15/NºAsuntos!G15),'Resol  Asuntos'!D15/NºAsuntos!G15," - ")</f>
        <v>0.10102040816326531</v>
      </c>
      <c r="AO15" s="245">
        <f>IF(ISNUMBER((NºAsuntos!C15+NºAsuntos!E15)/NºAsuntos!G15),(NºAsuntos!C15+NºAsuntos!E15)/NºAsuntos!G15," - ")</f>
        <v>1.5544217687074831</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230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288</v>
      </c>
      <c r="X17" s="226">
        <f>IF(ISNUMBER(Datos!Q17),Datos!Q17," - ")</f>
        <v>0</v>
      </c>
      <c r="Y17" s="334">
        <f t="shared" si="7"/>
        <v>288</v>
      </c>
      <c r="Z17" s="335" t="str">
        <f>IF(ISNUMBER(Datos!CC17),Datos!CC17," - ")</f>
        <v xml:space="preserve"> - </v>
      </c>
      <c r="AA17" s="332">
        <f>IF(ISNUMBER(Datos!L17),Datos!L17,"-")</f>
        <v>224</v>
      </c>
      <c r="AB17" s="334">
        <f>IF(ISNUMBER(Datos!R17),Datos!R17," - ")</f>
        <v>7</v>
      </c>
      <c r="AC17" s="334">
        <f t="shared" si="6"/>
        <v>231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18</v>
      </c>
      <c r="AJ17" s="231" t="str">
        <f>IF(ISNUMBER(Datos!BW17),Datos!BW17," - ")</f>
        <v xml:space="preserve"> - </v>
      </c>
      <c r="AK17" s="232" t="str">
        <f>IF(ISNUMBER(Datos!BX17),Datos!BX17," - ")</f>
        <v xml:space="preserve"> - </v>
      </c>
      <c r="AL17" s="243">
        <f>IF(ISNUMBER(NºAsuntos!G17/NºAsuntos!E17),NºAsuntos!G17/NºAsuntos!E17," - ")</f>
        <v>1.0212765957446808</v>
      </c>
      <c r="AM17" s="260">
        <f>IF(ISNUMBER(((NºAsuntos!I17/NºAsuntos!G17)*11)/factor_trimestre),((NºAsuntos!I17/NºAsuntos!G17)*11)/factor_trimestre," - ")</f>
        <v>2.3333333333333335</v>
      </c>
      <c r="AN17" s="244">
        <f>IF(ISNUMBER('Resol  Asuntos'!D17/NºAsuntos!G17),'Resol  Asuntos'!D17/NºAsuntos!G17," - ")</f>
        <v>6.25E-2</v>
      </c>
      <c r="AO17" s="245">
        <f>IF(ISNUMBER((NºAsuntos!C17+NºAsuntos!E17)/NºAsuntos!G17),(NºAsuntos!C17+NºAsuntos!E17)/NºAsuntos!G17," - ")</f>
        <v>1.7777777777777777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1705</v>
      </c>
      <c r="G18" s="866">
        <f>SUBTOTAL(9,G15:G17)</f>
        <v>1898</v>
      </c>
      <c r="H18" s="865">
        <f t="shared" ref="H18:O18" si="10">SUBTOTAL(9,H14:H17)</f>
        <v>0</v>
      </c>
      <c r="I18" s="867">
        <f t="shared" si="10"/>
        <v>0</v>
      </c>
      <c r="J18" s="867">
        <f t="shared" si="10"/>
        <v>0</v>
      </c>
      <c r="K18" s="867">
        <f t="shared" si="10"/>
        <v>0</v>
      </c>
      <c r="L18" s="867">
        <f t="shared" si="10"/>
        <v>103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3228</v>
      </c>
      <c r="X18" s="867">
        <f t="shared" si="11"/>
        <v>111</v>
      </c>
      <c r="Y18" s="868">
        <f t="shared" si="11"/>
        <v>3228</v>
      </c>
      <c r="Z18" s="868">
        <f t="shared" si="11"/>
        <v>0</v>
      </c>
      <c r="AA18" s="868">
        <f t="shared" si="11"/>
        <v>1891</v>
      </c>
      <c r="AB18" s="868">
        <f t="shared" si="11"/>
        <v>287</v>
      </c>
      <c r="AC18" s="868">
        <f t="shared" si="11"/>
        <v>2178</v>
      </c>
      <c r="AD18" s="868">
        <f t="shared" si="11"/>
        <v>0</v>
      </c>
      <c r="AE18" s="872">
        <f t="shared" si="11"/>
        <v>0</v>
      </c>
      <c r="AF18" s="865">
        <f t="shared" si="11"/>
        <v>0</v>
      </c>
      <c r="AG18" s="873">
        <f t="shared" si="11"/>
        <v>0</v>
      </c>
      <c r="AH18" s="870">
        <f t="shared" si="11"/>
        <v>0</v>
      </c>
      <c r="AI18" s="865">
        <f t="shared" si="11"/>
        <v>315</v>
      </c>
      <c r="AJ18" s="867">
        <f t="shared" si="11"/>
        <v>0</v>
      </c>
      <c r="AK18" s="870">
        <f t="shared" si="11"/>
        <v>0</v>
      </c>
      <c r="AL18" s="874">
        <f>IF(ISNUMBER(NºAsuntos!G18/NºAsuntos!E18),NºAsuntos!G18/NºAsuntos!E18," - ")</f>
        <v>1.0138190954773869</v>
      </c>
      <c r="AM18" s="874">
        <f>IF(ISNUMBER(((NºAsuntos!I18/NºAsuntos!G18)*11)/factor_trimestre),((NºAsuntos!I18/NºAsuntos!G18)*11)/factor_trimestre," - ")</f>
        <v>1.7574349442379182</v>
      </c>
      <c r="AN18" s="875">
        <f>IF(ISNUMBER('Resol  Asuntos'!D18/NºAsuntos!G18),'Resol  Asuntos'!D18/NºAsuntos!G18," - ")</f>
        <v>9.7583643122676575E-2</v>
      </c>
      <c r="AO18" s="876">
        <f>IF(ISNUMBER((NºAsuntos!C18+NºAsuntos!E18)/NºAsuntos!G18),(NºAsuntos!C18+NºAsuntos!E18)/NºAsuntos!G18," - ")</f>
        <v>1.5743494423791822</v>
      </c>
      <c r="AP18" s="877" t="str">
        <f t="shared" si="2"/>
        <v xml:space="preserve"> - </v>
      </c>
      <c r="AQ18" s="877">
        <f>IF(ISNUMBER((H18-W18+K18)/(F18)),(H18-W18+K18)/(F18)," - ")</f>
        <v>-1.8932551319648094</v>
      </c>
      <c r="AR18" s="878">
        <f>IF(ISNUMBER((Datos!P18-Datos!Q18)/(Datos!R18-Datos!P18+Datos!Q18)),(Datos!P18-Datos!Q18)/(Datos!R18-Datos!P18+Datos!Q18)," - ")</f>
        <v>-2.7118644067796609E-2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11</v>
      </c>
      <c r="F19" s="820">
        <f t="shared" si="13"/>
        <v>1806</v>
      </c>
      <c r="G19" s="821">
        <f t="shared" si="13"/>
        <v>1999</v>
      </c>
      <c r="H19" s="820">
        <f t="shared" si="13"/>
        <v>0</v>
      </c>
      <c r="I19" s="822">
        <f t="shared" si="13"/>
        <v>0</v>
      </c>
      <c r="J19" s="822">
        <f t="shared" si="13"/>
        <v>0</v>
      </c>
      <c r="K19" s="881">
        <f t="shared" si="13"/>
        <v>0</v>
      </c>
      <c r="L19" s="822">
        <f t="shared" si="13"/>
        <v>611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3262</v>
      </c>
      <c r="X19" s="821">
        <f t="shared" si="14"/>
        <v>433</v>
      </c>
      <c r="Y19" s="828">
        <f t="shared" si="14"/>
        <v>3584</v>
      </c>
      <c r="Z19" s="828">
        <f t="shared" si="14"/>
        <v>0</v>
      </c>
      <c r="AA19" s="828">
        <f t="shared" si="14"/>
        <v>1997</v>
      </c>
      <c r="AB19" s="828">
        <f t="shared" si="14"/>
        <v>7852</v>
      </c>
      <c r="AC19" s="828">
        <f t="shared" si="14"/>
        <v>2377</v>
      </c>
      <c r="AD19" s="828">
        <f t="shared" si="14"/>
        <v>0</v>
      </c>
      <c r="AE19" s="830">
        <f t="shared" si="14"/>
        <v>0</v>
      </c>
      <c r="AF19" s="831">
        <f t="shared" si="14"/>
        <v>0</v>
      </c>
      <c r="AG19" s="832">
        <f t="shared" si="14"/>
        <v>0</v>
      </c>
      <c r="AH19" s="830">
        <f t="shared" si="14"/>
        <v>0</v>
      </c>
      <c r="AI19" s="820">
        <f t="shared" si="14"/>
        <v>807</v>
      </c>
      <c r="AJ19" s="820">
        <f t="shared" si="14"/>
        <v>0</v>
      </c>
      <c r="AK19" s="830">
        <f t="shared" si="14"/>
        <v>0</v>
      </c>
      <c r="AL19" s="884">
        <f>IF(ISNUMBER(NºAsuntos!G19/NºAsuntos!E19),NºAsuntos!G19/NºAsuntos!E19," - ")</f>
        <v>0.98938356164383556</v>
      </c>
      <c r="AM19" s="885">
        <f>IF(ISNUMBER(((NºAsuntos!I19/NºAsuntos!G19)*11)/factor_trimestre),((NºAsuntos!I19/NºAsuntos!G19)*11)/factor_trimestre," - ")</f>
        <v>4.9350986500519216</v>
      </c>
      <c r="AN19" s="885">
        <f>IF(ISNUMBER('Resol  Asuntos'!D19/NºAsuntos!G19),'Resol  Asuntos'!D19/NºAsuntos!G19," - ")</f>
        <v>0.13966770508826584</v>
      </c>
      <c r="AO19" s="886">
        <f>IF(ISNUMBER((NºAsuntos!C19+NºAsuntos!E19)/NºAsuntos!G19),(NºAsuntos!C19+NºAsuntos!E19)/NºAsuntos!G19," - ")</f>
        <v>2.6391484942886811</v>
      </c>
      <c r="AP19" s="887" t="str">
        <f t="shared" si="2"/>
        <v xml:space="preserve"> - </v>
      </c>
      <c r="AQ19" s="888">
        <f>IF(OR(ISNUMBER(FIND("01",Criterios!A8,1)),ISNUMBER(FIND("02",Criterios!A8,1)),ISNUMBER(FIND("03",Criterios!A8,1)),ISNUMBER(FIND("04",Criterios!A8,1))),(I19-W19+K19)/(F19-K19),(H19-W19+K19)/(F19-K19))</f>
        <v>-1.806201550387597</v>
      </c>
      <c r="AR19" s="889">
        <f>IF(ISNUMBER((Datos!P19-Datos!Q19)/(Datos!R19-Datos!P19+Datos!Q19)),(Datos!P19-Datos!Q19)/(Datos!R19-Datos!P19+Datos!Q19)," - ")</f>
        <v>2.3195204586916863E-2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799.6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2.5055493963954847</v>
      </c>
      <c r="F21" s="252">
        <f>IF(ISNUMBER(STDEV(F8:F18)),STDEV(F8:F18),"-")</f>
        <v>926.0698317801598</v>
      </c>
      <c r="G21" s="253">
        <f>IF(ISNUMBER(STDEV(G8:G18)),STDEV(G8:G18),"-")</f>
        <v>902.92984223581846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1630.668942489554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210.94454247503063</v>
      </c>
      <c r="AJ21" s="252">
        <f t="shared" si="18"/>
        <v>0</v>
      </c>
      <c r="AK21" s="254">
        <f t="shared" si="18"/>
        <v>0</v>
      </c>
      <c r="AL21" s="249">
        <f t="shared" si="18"/>
        <v>5.6825915859850931E-2</v>
      </c>
      <c r="AM21" s="250">
        <f t="shared" si="18"/>
        <v>3.9290001008964333</v>
      </c>
      <c r="AN21" s="250">
        <f t="shared" si="18"/>
        <v>0.14922416532046803</v>
      </c>
      <c r="AO21" s="251">
        <f t="shared" si="18"/>
        <v>1.3147173593266646</v>
      </c>
      <c r="AP21" s="291" t="str">
        <f t="shared" si="18"/>
        <v>-</v>
      </c>
      <c r="AQ21" s="292">
        <f t="shared" si="18"/>
        <v>1.1006975961865426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edlYliGq+/cMl87uulCZqFfomS642RpHamKA7ehBSJd0gi8pRfYG1x7hJ/GPn+gLymeArA16gzQIg2uucv4w+g==" saltValue="2VAKntBF6cjTmTElrcSO5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FUENGIROLA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0.19899244332493704</v>
      </c>
      <c r="I9" s="350">
        <f>IF(ISNUMBER((Tasas!C9-Datos!BE9)/Datos!BE9),(Tasas!C9-Datos!BE9)/Datos!BE9," - ")</f>
        <v>-3.6394147624805397E-2</v>
      </c>
      <c r="J9" s="349">
        <f>IF(ISNUMBER((Tasas!D9-Datos!BF9)/Datos!BF9),(Tasas!D9-Datos!BF9)/Datos!BF9," - ")</f>
        <v>-0.59625779625779618</v>
      </c>
      <c r="K9" s="351">
        <f>IF(ISNUMBER((Tasas!E9-Datos!BG9)/Datos!BG9),(Tasas!E9-Datos!BG9)/Datos!BG9," - ")</f>
        <v>-2.7219560524058852E-2</v>
      </c>
      <c r="M9" t="e">
        <f>IF(Monitorios="SI",Datos!CE9,0)</f>
        <v>#REF!</v>
      </c>
      <c r="N9" t="e">
        <f>IF(Monitorios="SI",Datos!CF9,0)</f>
        <v>#REF!</v>
      </c>
      <c r="O9" t="e">
        <f>IF(Monitorios="SI",Datos!CG9,0)</f>
        <v>#REF!</v>
      </c>
      <c r="P9" t="e">
        <f>IF(Monitorios="SI",Datos!CH9,0)</f>
        <v>#REF!</v>
      </c>
      <c r="Q9">
        <f>IF(J_V="SI",0,Datos!AG9)</f>
        <v>81</v>
      </c>
      <c r="R9">
        <f>IF(J_V="SI",0,Datos!AH9)</f>
        <v>96</v>
      </c>
      <c r="S9">
        <f>IF(J_V="SI",0,Datos!AI9)</f>
        <v>119</v>
      </c>
      <c r="T9">
        <f>IF(J_V="SI",0,Datos!AJ9)</f>
        <v>58</v>
      </c>
    </row>
    <row r="10" spans="2:20" ht="14.25">
      <c r="B10" s="275" t="s">
        <v>246</v>
      </c>
      <c r="C10" s="7" t="str">
        <f>Datos!A10</f>
        <v>Jdos. Violencia contra la mujer</v>
      </c>
      <c r="D10" s="352">
        <f>IF(ISNUMBER((Datos!I10-Datos!S10)/Datos!S10),(Datos!I10-Datos!S10)/Datos!S10," - ")</f>
        <v>-0.13675213675213677</v>
      </c>
      <c r="E10" s="348">
        <f>IF(ISNUMBER((Datos!J10-Datos!T10)/Datos!T10),(Datos!J10-Datos!T10)/Datos!T10," - ")</f>
        <v>-4.878048780487805E-2</v>
      </c>
      <c r="F10" s="348">
        <f>IF(ISNUMBER((Datos!K10-Datos!U10)/Datos!U10),(Datos!K10-Datos!U10)/Datos!U10," - ")</f>
        <v>-0.45161290322580644</v>
      </c>
      <c r="G10" s="349">
        <f>IF(ISNUMBER((Datos!L10-Datos!V10)/Datos!V10),(Datos!L10-Datos!V10)/Datos!V10," - ")</f>
        <v>0.10416666666666667</v>
      </c>
      <c r="H10" s="230">
        <f>IF(ISNUMBER((Datos!M10-Datos!W10)/Datos!W10),(Datos!M10-Datos!W10)/Datos!W10," - ")</f>
        <v>-0.2</v>
      </c>
      <c r="I10" s="350">
        <f>IF(ISNUMBER((Tasas!C10-Datos!BE10)/Datos!BE10),(Tasas!C10-Datos!BE10)/Datos!BE10," - ")</f>
        <v>1.0134803921568629</v>
      </c>
      <c r="J10" s="349">
        <f>IF(ISNUMBER((Tasas!D10-Datos!BF10)/Datos!BF10),(Tasas!D10-Datos!BF10)/Datos!BF10," - ")</f>
        <v>0.45882352941176474</v>
      </c>
      <c r="K10" s="351">
        <f>IF(ISNUMBER((Tasas!E10-Datos!BG10)/Datos!BG10),(Tasas!E10-Datos!BG10)/Datos!BG10," - ")</f>
        <v>0.61578555472822027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0.17985611510791366</v>
      </c>
      <c r="I13" s="357">
        <f>IF(ISNUMBER((Tasas!C13-Datos!BE13)/Datos!BE13),(Tasas!C13-Datos!BE13)/Datos!BE13," - ")</f>
        <v>-2.0669683257918587E-2</v>
      </c>
      <c r="J13" s="355">
        <f>IF(ISNUMBER((Tasas!D13-Datos!BF13)/Datos!BF13),(Tasas!D13-Datos!BF13)/Datos!BF13," - ")</f>
        <v>-0.58424288425047444</v>
      </c>
      <c r="K13" s="358">
        <f>IF(ISNUMBER((Tasas!E13-Datos!BG13)/Datos!BG13),(Tasas!E13-Datos!BG13)/Datos!BG13," - ")</f>
        <v>-1.5274108657512867E-2</v>
      </c>
      <c r="M13" t="e">
        <f>IF(Monitorios="SI",Datos!CE13,0)</f>
        <v>#REF!</v>
      </c>
      <c r="N13" t="e">
        <f>IF(Monitorios="SI",Datos!CF13,0)</f>
        <v>#REF!</v>
      </c>
      <c r="O13" t="e">
        <f>IF(Monitorios="SI",Datos!CG13,0)</f>
        <v>#REF!</v>
      </c>
      <c r="P13" t="e">
        <f>IF(Monitorios="SI",Datos!CH13,0)</f>
        <v>#REF!</v>
      </c>
      <c r="Q13">
        <f>IF(J_V="SI",0,Datos!AG13)</f>
        <v>81</v>
      </c>
      <c r="R13">
        <f>IF(J_V="SI",0,Datos!AH13)</f>
        <v>96</v>
      </c>
      <c r="S13">
        <f>IF(J_V="SI",0,Datos!AI13)</f>
        <v>119</v>
      </c>
      <c r="T13">
        <f>IF(J_V="SI",0,Datos!AJ13)</f>
        <v>58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0.11274182788525684</v>
      </c>
      <c r="E15" s="348">
        <f>IF(ISNUMBER(
   IF(D_I="SI",(Datos!J15-Datos!T15)/Datos!T15,(Datos!J15+Datos!AD15-(Datos!T15+Datos!AL15))/(Datos!T15+Datos!AL15))
     ),IF(D_I="SI",(Datos!J15-Datos!T15)/Datos!T15,(Datos!J15+Datos!AD15-(Datos!T15+Datos!AL15))/(Datos!T15+Datos!AL15))," - ")</f>
        <v>-4.3506921555702044E-2</v>
      </c>
      <c r="F15" s="348">
        <f>IF(ISNUMBER(
   IF(D_I="SI",(Datos!K15-Datos!U15)/Datos!U15,(Datos!K15+Datos!AE15-(Datos!U15+Datos!AM15))/(Datos!U15+Datos!AM15))
     ),IF(D_I="SI",(Datos!K15-Datos!U15)/Datos!U15,(Datos!K15+Datos!AE15-(Datos!U15+Datos!AM15))/(Datos!U15+Datos!AM15))," - ")</f>
        <v>-5.8898847631242E-2</v>
      </c>
      <c r="G15" s="349">
        <f>IF(ISNUMBER(
   IF(D_I="SI",(Datos!L15-Datos!V15)/Datos!V15,(Datos!L15+Datos!AF15-(Datos!V15+Datos!AN15))/(Datos!V15+Datos!AN15))
     ),IF(D_I="SI",(Datos!L15-Datos!V15)/Datos!V15,(Datos!L15+Datos!AF15-(Datos!V15+Datos!AN15))/(Datos!V15+Datos!AN15))," - ")</f>
        <v>0.134785568413887</v>
      </c>
      <c r="H15" s="230">
        <f>IF(ISNUMBER((Datos!M15-Datos!W15)/Datos!W15),(Datos!M15-Datos!W15)/Datos!W15," - ")</f>
        <v>5.6939501779359428E-2</v>
      </c>
      <c r="I15" s="350">
        <f>IF(ISNUMBER((Tasas!C15-Datos!BE15)/Datos!BE15),(Tasas!C15-Datos!BE15)/Datos!BE15," - ")</f>
        <v>0.20580616181121866</v>
      </c>
      <c r="J15" s="349">
        <f>IF(ISNUMBER((Tasas!D15-Datos!BF15)/Datos!BF15),(Tasas!D15-Datos!BF15)/Datos!BF15," - ")</f>
        <v>0.12308809644854393</v>
      </c>
      <c r="K15" s="351">
        <f>IF(ISNUMBER((Tasas!E15-Datos!BG15)/Datos!BG15),(Tasas!E15-Datos!BG15)/Datos!BG15," - ")</f>
        <v>7.1258240777008E-2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-0.23588039867109634</v>
      </c>
      <c r="E17" s="348">
        <f>IF(ISNUMBER(
   IF(D_I="SI",(Datos!J17-Datos!T17)/Datos!T17,(Datos!J17+Datos!AD17-(Datos!T17+Datos!AL17))/(Datos!T17+Datos!AL17))
     ),IF(D_I="SI",(Datos!J17-Datos!T17)/Datos!T17,(Datos!J17+Datos!AD17-(Datos!T17+Datos!AL17))/(Datos!T17+Datos!AL17))," - ")</f>
        <v>5.2238805970149252E-2</v>
      </c>
      <c r="F17" s="348">
        <f>IF(ISNUMBER(
   IF(D_I="SI",(Datos!K17-Datos!U17)/Datos!U17,(Datos!K17+Datos!AE17-(Datos!U17+Datos!AM17))/(Datos!U17+Datos!AM17))
     ),IF(D_I="SI",(Datos!K17-Datos!U17)/Datos!U17,(Datos!K17+Datos!AE17-(Datos!U17+Datos!AM17))/(Datos!U17+Datos!AM17))," - ")</f>
        <v>7.8651685393258425E-2</v>
      </c>
      <c r="G17" s="349">
        <f>IF(ISNUMBER(
   IF(D_I="SI",(Datos!L17-Datos!V17)/Datos!V17,(Datos!L17+Datos!AF17-(Datos!V17+Datos!AN17))/(Datos!V17+Datos!AN17))
     ),IF(D_I="SI",(Datos!L17-Datos!V17)/Datos!V17,(Datos!L17+Datos!AF17-(Datos!V17+Datos!AN17))/(Datos!V17+Datos!AN17))," - ")</f>
        <v>-0.26072607260726072</v>
      </c>
      <c r="H17" s="230">
        <f>IF(ISNUMBER((Datos!M17-Datos!W17)/Datos!W17),(Datos!M17-Datos!W17)/Datos!W17," - ")</f>
        <v>-0.41935483870967744</v>
      </c>
      <c r="I17" s="350">
        <f>IF(ISNUMBER((Tasas!C17-Datos!BE17)/Datos!BE17),(Tasas!C17-Datos!BE17)/Datos!BE17," - ")</f>
        <v>-0.31463146314631468</v>
      </c>
      <c r="J17" s="349">
        <f>IF(ISNUMBER((Tasas!D17-Datos!BF17)/Datos!BF17),(Tasas!D17-Datos!BF17)/Datos!BF17," - ")</f>
        <v>-0.46169354838709681</v>
      </c>
      <c r="K17" s="351">
        <f>IF(ISNUMBER((Tasas!E17-Datos!BG17)/Datos!BG17),(Tasas!E17-Datos!BG17)/Datos!BG17," - ")</f>
        <v>-0.16578793204452263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5.4444444444444441E-2</v>
      </c>
      <c r="E18" s="354">
        <f>IF(ISNUMBER(
   IF(D_I="SI",(Datos!J18-Datos!T18)/Datos!T18,(Datos!J18+Datos!AD18-(Datos!T18+Datos!AL18))/(Datos!T18+Datos!AL18))
     ),IF(D_I="SI",(Datos!J18-Datos!T18)/Datos!T18,(Datos!J18+Datos!AD18-(Datos!T18+Datos!AL18))/(Datos!T18+Datos!AL18))," - ")</f>
        <v>-3.5735917625681408E-2</v>
      </c>
      <c r="F18" s="354">
        <f>IF(ISNUMBER(
   IF(D_I="SI",(Datos!K18-Datos!U18)/Datos!U18,(Datos!K18+Datos!AE18-(Datos!U18+Datos!AM18))/(Datos!U18+Datos!AM18))
     ),IF(D_I="SI",(Datos!K18-Datos!U18)/Datos!U18,(Datos!K18+Datos!AE18-(Datos!U18+Datos!AM18))/(Datos!U18+Datos!AM18))," - ")</f>
        <v>-4.806841639634326E-2</v>
      </c>
      <c r="G18" s="355">
        <f>IF(ISNUMBER(
   IF(D_I="SI",(Datos!L18-Datos!V18)/Datos!V18,(Datos!L18+Datos!AF18-(Datos!V18+Datos!AN18))/(Datos!V18+Datos!AN18))
     ),IF(D_I="SI",(Datos!L18-Datos!V18)/Datos!V18,(Datos!L18+Datos!AF18-(Datos!V18+Datos!AN18))/(Datos!V18+Datos!AN18))," - ")</f>
        <v>6.7155756207674944E-2</v>
      </c>
      <c r="H18" s="356">
        <f>IF(ISNUMBER((Datos!M18-Datos!W18)/Datos!W18),(Datos!M18-Datos!W18)/Datos!W18," - ")</f>
        <v>9.6153846153846159E-3</v>
      </c>
      <c r="I18" s="357">
        <f>IF(ISNUMBER((Tasas!C18-Datos!BE18)/Datos!BE18),(Tasas!C18-Datos!BE18)/Datos!BE18," - ")</f>
        <v>0.12104249358743048</v>
      </c>
      <c r="J18" s="355">
        <f>IF(ISNUMBER((Tasas!D18-Datos!BF18)/Datos!BF18),(Tasas!D18-Datos!BF18)/Datos!BF18," - ")</f>
        <v>6.0596582785244504E-2</v>
      </c>
      <c r="K18" s="358">
        <f>IF(ISNUMBER((Tasas!E18-Datos!BG18)/Datos!BG18),(Tasas!E18-Datos!BG18)/Datos!BG18," - ")</f>
        <v>4.6377687006626228E-2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0.25136321319324378</v>
      </c>
      <c r="E19" s="363">
        <f>IF(ISNUMBER(
   IF(J_V="SI",(Datos!J19-Datos!T19)/Datos!T19,(Datos!J19+Datos!Z19-(Datos!T19+Datos!AH19))/(Datos!T19+Datos!AH19))
     ),IF(J_V="SI",(Datos!J19-Datos!T19)/Datos!T19,(Datos!J19+Datos!Z19-(Datos!T19+Datos!AH19))/(Datos!T19+Datos!AH19))," - ")</f>
        <v>2.5100930314200458E-2</v>
      </c>
      <c r="F19" s="363">
        <f>IF(ISNUMBER(
   IF(J_V="SI",(Datos!K19-Datos!U19)/Datos!U19,(Datos!K19+Datos!AA19-(Datos!U19+Datos!AI19))/(Datos!U19+Datos!AI19))
     ),IF(J_V="SI",(Datos!K19-Datos!U19)/Datos!U19,(Datos!K19+Datos!AA19-(Datos!U19+Datos!AI19))/(Datos!U19+Datos!AI19))," - ")</f>
        <v>7.0991658943466165E-2</v>
      </c>
      <c r="G19" s="364">
        <f>IF(ISNUMBER(
   IF(J_V="SI",(Datos!L19-Datos!V19)/Datos!V19,(Datos!L19+Datos!AB19-(Datos!V19+Datos!AJ19))/(Datos!V19+Datos!AJ19))
     ),IF(J_V="SI",(Datos!L19-Datos!V19)/Datos!V19,(Datos!L19+Datos!AB19-(Datos!V19+Datos!AJ19))/(Datos!V19+Datos!AJ19))," - ")</f>
        <v>0.20591220502410557</v>
      </c>
      <c r="H19" s="365">
        <f>IF(ISNUMBER((Datos!M19-Datos!W19)/Datos!W19),(Datos!M19-Datos!W19)/Datos!W19," - ")</f>
        <v>0.10699588477366255</v>
      </c>
      <c r="I19" s="362">
        <f>IF(ISNUMBER((Tasas!C19-Datos!BE19)/Datos!BE19),(Tasas!C19-Datos!BE19)/Datos!BE19," - ")</f>
        <v>0.12597721462531156</v>
      </c>
      <c r="J19" s="363">
        <f>IF(ISNUMBER((Tasas!D19-Datos!BF19)/Datos!BF19),(Tasas!D19-Datos!BF19)/Datos!BF19," - ")</f>
        <v>-0.39331137765604329</v>
      </c>
      <c r="K19" s="364">
        <f>IF(ISNUMBER((Tasas!E19-Datos!BG19)/Datos!BG19),(Tasas!E19-Datos!BG19)/Datos!BG19," - ")</f>
        <v>7.734610522756015E-2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0.16275091900867961</v>
      </c>
      <c r="E21" s="278">
        <f t="shared" si="1"/>
        <v>4.7758117861650379E-2</v>
      </c>
      <c r="F21" s="278">
        <f t="shared" si="1"/>
        <v>0.22973688715371701</v>
      </c>
      <c r="G21" s="279">
        <f t="shared" si="1"/>
        <v>0.18347656052871242</v>
      </c>
      <c r="H21" s="285">
        <f t="shared" si="1"/>
        <v>0.239205383148717</v>
      </c>
      <c r="I21" s="277">
        <f t="shared" si="1"/>
        <v>0.45354591155108792</v>
      </c>
      <c r="J21" s="278">
        <f t="shared" si="1"/>
        <v>0.44109039284748514</v>
      </c>
      <c r="K21" s="279">
        <f t="shared" si="1"/>
        <v>0.271631491156135</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qmD7OsjxdtXSKINsaAED40hutFK8vqUV/M3U5YzKnp+e4X6PjGCqrE6U4cdLzJxuV3o799F8vvi35K2aTwyXg==" saltValue="9FYk4+GRAZqK8x7GT5lXg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